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mensionnement CONDUITE FORCEE" sheetId="1" r:id="rId4"/>
    <sheet state="visible" name="Dimensionnement Théorique" sheetId="2" r:id="rId5"/>
    <sheet state="visible" name="Dimensionnement INJECTEUR" sheetId="3" r:id="rId6"/>
    <sheet state="visible" name="Récapitulatif pour la construct" sheetId="4" r:id="rId7"/>
    <sheet state="visible" name="Budget" sheetId="5" r:id="rId8"/>
  </sheets>
  <definedNames>
    <definedName localSheetId="2" name="Linj">'Dimensionnement INJECTEUR'!$F$9</definedName>
    <definedName name="dint">'Dimensionnement Théorique'!$E$28</definedName>
    <definedName name="Rcourbure">'Dimensionnement Théorique'!$E$41</definedName>
    <definedName name="dext">'Dimensionnement Théorique'!$E$27</definedName>
  </definedNames>
  <calcPr/>
</workbook>
</file>

<file path=xl/sharedStrings.xml><?xml version="1.0" encoding="utf-8"?>
<sst xmlns="http://schemas.openxmlformats.org/spreadsheetml/2006/main" count="518" uniqueCount="332">
  <si>
    <t>Coefficient k (µm) selon le matériau</t>
  </si>
  <si>
    <t>Pertes de charge totales</t>
  </si>
  <si>
    <t>Pertes de charges régulières</t>
  </si>
  <si>
    <t>Pertes de charges coudes brusques</t>
  </si>
  <si>
    <t>k</t>
  </si>
  <si>
    <t>PVC</t>
  </si>
  <si>
    <t>Fonte neuve</t>
  </si>
  <si>
    <t>250-800</t>
  </si>
  <si>
    <t>Diamètre (mm)</t>
  </si>
  <si>
    <t>PDC total (mCE)</t>
  </si>
  <si>
    <t>Lambda</t>
  </si>
  <si>
    <t>Pertes de charges régulières (mCE)</t>
  </si>
  <si>
    <t>Angle (°)</t>
  </si>
  <si>
    <t>Acier (inox / normal / rouillé)</t>
  </si>
  <si>
    <t>15 / 90 / 100-1000</t>
  </si>
  <si>
    <t>Fonte usagée</t>
  </si>
  <si>
    <t>800-1500</t>
  </si>
  <si>
    <t>Pertes de charges singulières (mCE)</t>
  </si>
  <si>
    <t>Grandeurs données</t>
  </si>
  <si>
    <t>Q (m3/s)</t>
  </si>
  <si>
    <t>k (µm)</t>
  </si>
  <si>
    <t>Hauteur de chute (m)</t>
  </si>
  <si>
    <t>a (m/s)</t>
  </si>
  <si>
    <t>Nombre de conduite en parallèle</t>
  </si>
  <si>
    <t>L (m)</t>
  </si>
  <si>
    <t>Angle du coude (°)</t>
  </si>
  <si>
    <t>Nombre de coudes</t>
  </si>
  <si>
    <t xml:space="preserve">Choix du diamètre </t>
  </si>
  <si>
    <t>Pertes de charge conseillées : 5% de la charge (mCE)</t>
  </si>
  <si>
    <t>Diamètre de conduite retenu (mm)</t>
  </si>
  <si>
    <t>Epaisseur de conduite (mm)</t>
  </si>
  <si>
    <t>Pertes de charges totales (mCE)</t>
  </si>
  <si>
    <t>Puissance potentielle totale (kW)</t>
  </si>
  <si>
    <t>Puissance potentielle totale avec rendement globale de 25% (kW)</t>
  </si>
  <si>
    <t xml:space="preserve">Vérification </t>
  </si>
  <si>
    <t>Vitesse d'écoulement de l'eau (m/s)</t>
  </si>
  <si>
    <t>Charge d'ajout coup de belier instantannée (mCE)</t>
  </si>
  <si>
    <t>Charge totale en surpression (mCE)</t>
  </si>
  <si>
    <t>Contraintes max en surpression dans la conduite (formule chaudronniers) (MPa)</t>
  </si>
  <si>
    <t>Différents modules d'Young selon le matériau (MPa)</t>
  </si>
  <si>
    <t>Acier normal</t>
  </si>
  <si>
    <t xml:space="preserve">Minimum pour la fonte  </t>
  </si>
  <si>
    <t>Acier inox</t>
  </si>
  <si>
    <t>Différents limites élastiques en traction selon le matériau (MPa)</t>
  </si>
  <si>
    <t>Données d'entrée</t>
  </si>
  <si>
    <t>Infos hydraulique</t>
  </si>
  <si>
    <t xml:space="preserve">Vitesse de rotation </t>
  </si>
  <si>
    <t>tour/min</t>
  </si>
  <si>
    <t>Vitesse absolue en entrée</t>
  </si>
  <si>
    <t>m/s</t>
  </si>
  <si>
    <t>C1</t>
  </si>
  <si>
    <t>rd/s</t>
  </si>
  <si>
    <t>Vitesse d'entrainement en entrée</t>
  </si>
  <si>
    <t>u1</t>
  </si>
  <si>
    <t>Hauteur d'eau totale</t>
  </si>
  <si>
    <t>m</t>
  </si>
  <si>
    <t>Ht</t>
  </si>
  <si>
    <t>Vitesse relative tangentielle en entrée</t>
  </si>
  <si>
    <t>W1</t>
  </si>
  <si>
    <t>Hauteur d'eau après pertes de charge</t>
  </si>
  <si>
    <t>Hpdc</t>
  </si>
  <si>
    <t>Beta 1</t>
  </si>
  <si>
    <t>°</t>
  </si>
  <si>
    <t>β1</t>
  </si>
  <si>
    <t xml:space="preserve">Débit </t>
  </si>
  <si>
    <t>m3/s</t>
  </si>
  <si>
    <t>Q</t>
  </si>
  <si>
    <t>Epaisseur du jet</t>
  </si>
  <si>
    <t>s0</t>
  </si>
  <si>
    <t>Accélération pesanteur</t>
  </si>
  <si>
    <t>m/s2</t>
  </si>
  <si>
    <t>g</t>
  </si>
  <si>
    <t>Hauteur du jet d'entrée</t>
  </si>
  <si>
    <t>s1</t>
  </si>
  <si>
    <t>Angle alpha 1</t>
  </si>
  <si>
    <t>α1</t>
  </si>
  <si>
    <t>Angle 1er étage/2e étage</t>
  </si>
  <si>
    <t>θ</t>
  </si>
  <si>
    <t>Angle béta 2</t>
  </si>
  <si>
    <t>β2</t>
  </si>
  <si>
    <t>Vitesse absolue en sortie</t>
  </si>
  <si>
    <t>C2</t>
  </si>
  <si>
    <t>Perte de charge conduite</t>
  </si>
  <si>
    <t>c</t>
  </si>
  <si>
    <t>Vitesse d'entrainement en sortie</t>
  </si>
  <si>
    <t>u2</t>
  </si>
  <si>
    <t>Frottement aubages</t>
  </si>
  <si>
    <t>ψ</t>
  </si>
  <si>
    <t>0,075&lt;k&lt;0,1</t>
  </si>
  <si>
    <t>Vitesse relative tangentielle en sortie</t>
  </si>
  <si>
    <t>W2</t>
  </si>
  <si>
    <t>Coefficient d'obstruction des pales voulu</t>
  </si>
  <si>
    <t>Epaisseur des pales</t>
  </si>
  <si>
    <t>e</t>
  </si>
  <si>
    <t>Arc d'alimentation</t>
  </si>
  <si>
    <t>δ</t>
  </si>
  <si>
    <t>Caractéristique globale</t>
  </si>
  <si>
    <t>Infos partie turbine</t>
  </si>
  <si>
    <t>maxi</t>
  </si>
  <si>
    <t>Rendement maximum</t>
  </si>
  <si>
    <t>η</t>
  </si>
  <si>
    <t>tr/min</t>
  </si>
  <si>
    <t>Vitesse de rotation</t>
  </si>
  <si>
    <t>rpm</t>
  </si>
  <si>
    <t>N</t>
  </si>
  <si>
    <t>Diamètre extérieur du rotor</t>
  </si>
  <si>
    <t>cm</t>
  </si>
  <si>
    <t>Dext</t>
  </si>
  <si>
    <t>Débit disponible</t>
  </si>
  <si>
    <t>Diamètre intérieur</t>
  </si>
  <si>
    <t>Dint</t>
  </si>
  <si>
    <t>Puissance brute</t>
  </si>
  <si>
    <t>kW</t>
  </si>
  <si>
    <t>Pbrut</t>
  </si>
  <si>
    <t>Puissance nette</t>
  </si>
  <si>
    <t>Pnet</t>
  </si>
  <si>
    <t>Angle beta 2</t>
  </si>
  <si>
    <t>Angle beta 1</t>
  </si>
  <si>
    <t>Dimensionnement rotor</t>
  </si>
  <si>
    <t>Nombre de pales avec épaisseur</t>
  </si>
  <si>
    <t>Diamètre intérieur du tuyau pour les pales</t>
  </si>
  <si>
    <t>D</t>
  </si>
  <si>
    <t>D1</t>
  </si>
  <si>
    <t>Largeur intérieure de l’injecteur</t>
  </si>
  <si>
    <t xml:space="preserve">L </t>
  </si>
  <si>
    <t>D2</t>
  </si>
  <si>
    <t xml:space="preserve">Marge de divergence sur la roue </t>
  </si>
  <si>
    <t>%</t>
  </si>
  <si>
    <t>Rapport des diamètres</t>
  </si>
  <si>
    <t>D1/D2</t>
  </si>
  <si>
    <t>x</t>
  </si>
  <si>
    <t>Largeur de la roue (la prise d’eau)</t>
  </si>
  <si>
    <t>Lr</t>
  </si>
  <si>
    <t>Angle alpha 2</t>
  </si>
  <si>
    <t>α2</t>
  </si>
  <si>
    <t>Effort sur l’axe pour puissance maximale</t>
  </si>
  <si>
    <t>Nm</t>
  </si>
  <si>
    <t>Nombre de pales</t>
  </si>
  <si>
    <t>n</t>
  </si>
  <si>
    <t>Effort sur l’axe à 25% de rendement totale</t>
  </si>
  <si>
    <t>Largeur injecteur formule perso</t>
  </si>
  <si>
    <t>L</t>
  </si>
  <si>
    <t>Largeur injecteur avec coefficient calculé</t>
  </si>
  <si>
    <t>Dimensionnement pales</t>
  </si>
  <si>
    <t>Hauteur radiale des pales</t>
  </si>
  <si>
    <t>a</t>
  </si>
  <si>
    <t>Espacement intérieur entre pales</t>
  </si>
  <si>
    <t>s2</t>
  </si>
  <si>
    <t>Espacement extérieur entre pales</t>
  </si>
  <si>
    <t>t</t>
  </si>
  <si>
    <t>Rayon de courbure des pales</t>
  </si>
  <si>
    <t>ρ</t>
  </si>
  <si>
    <t>Coefficient d'obstruction des pales calculé</t>
  </si>
  <si>
    <t>k'</t>
  </si>
  <si>
    <t>Étendu angulaire d’une pâle</t>
  </si>
  <si>
    <t>φ</t>
  </si>
  <si>
    <t xml:space="preserve">Récapitulatif des valeurs  </t>
  </si>
  <si>
    <t>Angles prédéfinis (degré; rad)</t>
  </si>
  <si>
    <t>α1 = 17° (rd)</t>
  </si>
  <si>
    <t>δ = [40°;60°] (rd)</t>
  </si>
  <si>
    <t>Pour une vitesse de rotation w choisie</t>
  </si>
  <si>
    <t xml:space="preserve">Dimensions injecteur
</t>
  </si>
  <si>
    <t>R1 (cm)</t>
  </si>
  <si>
    <t>Longeur injecteur (m)</t>
  </si>
  <si>
    <t>Largeur interne de l’injecteur (cm)</t>
  </si>
  <si>
    <t>Largeur (cm)</t>
  </si>
  <si>
    <t xml:space="preserve">Rapport R1/L </t>
  </si>
  <si>
    <t>Jeu paroie-turbine (cm)</t>
  </si>
  <si>
    <t>Longueur tube pour les pales (cm)</t>
  </si>
  <si>
    <t>delta</t>
  </si>
  <si>
    <t>x (cm)</t>
  </si>
  <si>
    <t>y (cm)</t>
  </si>
  <si>
    <t>Tracé de la roue</t>
  </si>
  <si>
    <t>Jokovitch</t>
  </si>
  <si>
    <t>Info pour la roue</t>
  </si>
  <si>
    <t>Info pour l’injecteur</t>
  </si>
  <si>
    <t>Pales</t>
  </si>
  <si>
    <t>Diamètre du tuyau pour les pales</t>
  </si>
  <si>
    <t>Dcourbure</t>
  </si>
  <si>
    <t>mm</t>
  </si>
  <si>
    <t>Marge autour conduite</t>
  </si>
  <si>
    <t>Étendu angulaire d’une pale</t>
  </si>
  <si>
    <t>rad</t>
  </si>
  <si>
    <t>Angle de convergence</t>
  </si>
  <si>
    <t>Largeur intérieure</t>
  </si>
  <si>
    <t>Circonférence de tuyau pour une pale</t>
  </si>
  <si>
    <t xml:space="preserve">Hauteur intérieure </t>
  </si>
  <si>
    <t>Nombre de pales (avec épaisseur tuyau)</t>
  </si>
  <si>
    <t>Epaisseur du jet en sortie</t>
  </si>
  <si>
    <t>h0</t>
  </si>
  <si>
    <t>Largeur de pale à découper avec épaisseur flasque</t>
  </si>
  <si>
    <t>Lpales</t>
  </si>
  <si>
    <t>Longueur minimum pour la convergence choisie</t>
  </si>
  <si>
    <t>Linj</t>
  </si>
  <si>
    <t>Corde d’une pale à une autre</t>
  </si>
  <si>
    <t xml:space="preserve">Longueur de tuyau nécessaire pour les pales </t>
  </si>
  <si>
    <t>Ltuyau</t>
  </si>
  <si>
    <t>Flasque</t>
  </si>
  <si>
    <t>Rayon extérieur</t>
  </si>
  <si>
    <t>Rext</t>
  </si>
  <si>
    <t>Rayon intérieur</t>
  </si>
  <si>
    <t>Rint</t>
  </si>
  <si>
    <t>Epaisseur des flasques</t>
  </si>
  <si>
    <t>Ecartement des flasques</t>
  </si>
  <si>
    <t>Circonférence de flasque d’une pale à l’autre</t>
  </si>
  <si>
    <t xml:space="preserve">Corde d’une pale à une autre sur la flasque </t>
  </si>
  <si>
    <t>1 trajet</t>
  </si>
  <si>
    <t>Essence</t>
  </si>
  <si>
    <t>14 L</t>
  </si>
  <si>
    <t>MISE EN PLACE DE LA CONDUITE</t>
  </si>
  <si>
    <t>Péage</t>
  </si>
  <si>
    <t>/</t>
  </si>
  <si>
    <t>Matériel</t>
  </si>
  <si>
    <t>Outillage</t>
  </si>
  <si>
    <t>Papier de verre</t>
  </si>
  <si>
    <t>Meuleuse</t>
  </si>
  <si>
    <t>80-100€</t>
  </si>
  <si>
    <t>Coût des trajets sur site (base de 6)</t>
  </si>
  <si>
    <t>Colle PVC rigide</t>
  </si>
  <si>
    <t>Chalumeau oxycoupeur</t>
  </si>
  <si>
    <t>Coudes PVC</t>
  </si>
  <si>
    <t>Disqueuse</t>
  </si>
  <si>
    <t>Tuyaux PVC</t>
  </si>
  <si>
    <t>Perforateur burineur</t>
  </si>
  <si>
    <t>Total</t>
  </si>
  <si>
    <t>Chiffons</t>
  </si>
  <si>
    <t>Perceuse à colonne</t>
  </si>
  <si>
    <t>Coût de la partie électrique</t>
  </si>
  <si>
    <t>Trichloréthylène</t>
  </si>
  <si>
    <t>5-6€</t>
  </si>
  <si>
    <t>Mèche SDS roche/béton</t>
  </si>
  <si>
    <r>
      <rPr>
        <rFont val="Arial"/>
        <color rgb="FF000000"/>
        <sz val="10.0"/>
      </rPr>
      <t xml:space="preserve">13€ </t>
    </r>
    <r>
      <rPr>
        <rFont val="Arial"/>
        <color rgb="FFFF0000"/>
        <sz val="10.0"/>
      </rPr>
      <t>unité</t>
    </r>
  </si>
  <si>
    <t>Redresseur</t>
  </si>
  <si>
    <t>Marqueur noir</t>
  </si>
  <si>
    <t>1-6€</t>
  </si>
  <si>
    <t>Mèche inox</t>
  </si>
  <si>
    <r>
      <rPr>
        <rFont val="Arial"/>
        <color rgb="FF000000"/>
        <sz val="10.0"/>
      </rPr>
      <t>10-20€</t>
    </r>
    <r>
      <rPr>
        <rFont val="Arial"/>
        <color rgb="FFFF0000"/>
        <sz val="10.0"/>
      </rPr>
      <t xml:space="preserve"> unité</t>
    </r>
  </si>
  <si>
    <t>Régulateur charge batterie</t>
  </si>
  <si>
    <t>EPDM en tube</t>
  </si>
  <si>
    <t>Pince à riveter</t>
  </si>
  <si>
    <t>8-20€</t>
  </si>
  <si>
    <t>Batterie</t>
  </si>
  <si>
    <t>minimum 50€</t>
  </si>
  <si>
    <t>Plaque inox</t>
  </si>
  <si>
    <t>Épaisseur ?</t>
  </si>
  <si>
    <t>Poste à souder à l'arc</t>
  </si>
  <si>
    <t>150-200€</t>
  </si>
  <si>
    <t>Onduleur</t>
  </si>
  <si>
    <t>Chevilles</t>
  </si>
  <si>
    <t>diamètre ?</t>
  </si>
  <si>
    <t>Vis inox</t>
  </si>
  <si>
    <t>10-20€</t>
  </si>
  <si>
    <t>longueur, diamètre ?</t>
  </si>
  <si>
    <t>Matériel hydraulique</t>
  </si>
  <si>
    <t>Rivets inox</t>
  </si>
  <si>
    <t>longueur ?</t>
  </si>
  <si>
    <t>Tuyau alu 97mm x 1m</t>
  </si>
  <si>
    <t>Cornières inox</t>
  </si>
  <si>
    <t>20-30€</t>
  </si>
  <si>
    <t>Tuyau PVC 50mm x 3mm x 1m</t>
  </si>
  <si>
    <t>Bois inj : pann agglo 22x250x125</t>
  </si>
  <si>
    <t>Coût estimé (€)</t>
  </si>
  <si>
    <t>Bois roue : predec med 15x120x60</t>
  </si>
  <si>
    <t xml:space="preserve">530-1200 </t>
  </si>
  <si>
    <t>Tôle alu injecteur : 0.8x100x20</t>
  </si>
  <si>
    <t>500-550</t>
  </si>
  <si>
    <t>Tige fil acier zingué 10x1 (x3)</t>
  </si>
  <si>
    <t>1061-1731</t>
  </si>
  <si>
    <t>1292-1973 €</t>
  </si>
  <si>
    <t xml:space="preserve">Matériel conduite </t>
  </si>
  <si>
    <t>Tuyau PVC 160 mm</t>
  </si>
  <si>
    <t>Coude 67° 160 mm</t>
  </si>
  <si>
    <t xml:space="preserve">Total </t>
  </si>
  <si>
    <t>Tuyau pour les aubages en métal</t>
  </si>
  <si>
    <r>
      <rPr>
        <rFont val="Arial"/>
        <color rgb="FF000000"/>
        <sz val="11.0"/>
      </rPr>
      <t xml:space="preserve">Bois pour injecteur </t>
    </r>
    <r>
      <rPr>
        <rFont val="Arial"/>
        <color rgb="FFFF0000"/>
        <sz val="11.0"/>
      </rPr>
      <t>(et flasque ?)</t>
    </r>
  </si>
  <si>
    <t>LEROY MERLIN</t>
  </si>
  <si>
    <t>Matériau</t>
  </si>
  <si>
    <t>Longueur (cm)</t>
  </si>
  <si>
    <t>Type</t>
  </si>
  <si>
    <t>Prix</t>
  </si>
  <si>
    <t>Type de bois</t>
  </si>
  <si>
    <t>Epaisseur (mm)</t>
  </si>
  <si>
    <t>Acier galvanisé gris</t>
  </si>
  <si>
    <t xml:space="preserve">DG
</t>
  </si>
  <si>
    <t>Leroy Merlin</t>
  </si>
  <si>
    <t>Prédéc agglo naturel</t>
  </si>
  <si>
    <t>COMMANDE UNIQUEMENT</t>
  </si>
  <si>
    <t>Prédéc osb 3</t>
  </si>
  <si>
    <t>Prédéc medium</t>
  </si>
  <si>
    <t>Inox</t>
  </si>
  <si>
    <t>RG</t>
  </si>
  <si>
    <t>Prédéc contreplaqué ordinaire</t>
  </si>
  <si>
    <t>Prédéc contreplaqué peuplier</t>
  </si>
  <si>
    <t>Prédéc contreplaqué okoumé</t>
  </si>
  <si>
    <t>Aluminium</t>
  </si>
  <si>
    <t>Vrai tuyau</t>
  </si>
  <si>
    <t>Cedeo</t>
  </si>
  <si>
    <t>Prédéc medium teinté</t>
  </si>
  <si>
    <t>Panneau agglo</t>
  </si>
  <si>
    <t>Dalle plancher</t>
  </si>
  <si>
    <t>Panneau agglo blanc</t>
  </si>
  <si>
    <t>DECOUPE SUR MESURE</t>
  </si>
  <si>
    <t>Pann agglo hydrofuge</t>
  </si>
  <si>
    <t>Panneau medium naturel</t>
  </si>
  <si>
    <t>Tuyau PVC</t>
  </si>
  <si>
    <t>Prédéc contrepl okoumé</t>
  </si>
  <si>
    <t>Dext (mm)</t>
  </si>
  <si>
    <t>Longueur (m)</t>
  </si>
  <si>
    <t>Epaisseur</t>
  </si>
  <si>
    <t>PRIX AU M²</t>
  </si>
  <si>
    <t>évac</t>
  </si>
  <si>
    <t>Pann contrepl 3plis epicéa</t>
  </si>
  <si>
    <t>Pann contrepl okoumé</t>
  </si>
  <si>
    <t>Pann medium teinté</t>
  </si>
  <si>
    <t>descente</t>
  </si>
  <si>
    <t>Tôle aluminium pour injecteur</t>
  </si>
  <si>
    <t>Lisse brossé</t>
  </si>
  <si>
    <t>3?</t>
  </si>
  <si>
    <t>?</t>
  </si>
  <si>
    <t>Brico dépôt</t>
  </si>
  <si>
    <t xml:space="preserve">Les autres diamètres sont aussi disponibles pour la majorité, mais pas en 1m.
</t>
  </si>
  <si>
    <t>Lisse brut</t>
  </si>
  <si>
    <t xml:space="preserve">Conduites PVC </t>
  </si>
  <si>
    <t>Diamètre</t>
  </si>
  <si>
    <t>Tuyau PVC 18 m</t>
  </si>
  <si>
    <t>Coude 45°</t>
  </si>
  <si>
    <t>Tige filetée pour injecteur et structure</t>
  </si>
  <si>
    <t>Coude 67°</t>
  </si>
  <si>
    <t>Prix acier zingué</t>
  </si>
  <si>
    <t>Prix inox brut</t>
  </si>
  <si>
    <t>Lubrifiant FB SEAU 1L</t>
  </si>
  <si>
    <t>GRIL.AV.NF MARRON 0.30 100M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</si>
</sst>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000"/>
    <numFmt numFmtId="165" formatCode="0.0"/>
    <numFmt numFmtId="166" formatCode="#,##0.0"/>
    <numFmt numFmtId="167" formatCode="0.000"/>
    <numFmt numFmtId="168" formatCode="0.00000"/>
    <numFmt numFmtId="169" formatCode="0.0000000000000000"/>
    <numFmt numFmtId="170" formatCode="0.00000000000000"/>
    <numFmt numFmtId="171" formatCode="#,##0\€"/>
    <numFmt numFmtId="172" formatCode="#,##0.00\€"/>
  </numFmts>
  <fonts count="18">
    <font>
      <sz val="10.0"/>
      <color rgb="FF000000"/>
      <name val="Calibri"/>
      <scheme val="minor"/>
    </font>
    <font>
      <sz val="11.0"/>
      <color rgb="FF000000"/>
      <name val="Cantarell"/>
    </font>
    <font/>
    <font>
      <sz val="11.0"/>
      <color theme="1"/>
      <name val="Cantarell"/>
    </font>
    <font>
      <b/>
      <sz val="11.0"/>
      <color rgb="FF000000"/>
      <name val="Cantarell"/>
    </font>
    <font>
      <b/>
      <i/>
      <sz val="11.0"/>
      <color rgb="FF000000"/>
      <name val="Cantarell"/>
    </font>
    <font>
      <sz val="11.0"/>
      <color theme="1"/>
      <name val="Calibri"/>
      <scheme val="minor"/>
    </font>
    <font>
      <b/>
      <u/>
      <sz val="11.0"/>
      <color rgb="FF000000"/>
      <name val="Cantarell"/>
    </font>
    <font>
      <b/>
      <sz val="14.0"/>
      <color rgb="FF000000"/>
      <name val="Arial"/>
    </font>
    <font>
      <b/>
      <i/>
      <sz val="14.0"/>
      <color rgb="FF000000"/>
      <name val="Cantarell"/>
    </font>
    <font>
      <sz val="10.0"/>
      <color rgb="FF000000"/>
      <name val="Cantarell"/>
    </font>
    <font>
      <b/>
      <sz val="15.0"/>
      <color rgb="FF000000"/>
      <name val="Cantarell"/>
    </font>
    <font>
      <b/>
      <u/>
      <sz val="11.0"/>
      <color rgb="FF000000"/>
      <name val="Cantarell"/>
    </font>
    <font>
      <sz val="10.0"/>
      <color rgb="FF000000"/>
      <name val="Arial"/>
    </font>
    <font>
      <sz val="11.0"/>
      <color rgb="FF000000"/>
      <name val="Arial"/>
    </font>
    <font>
      <sz val="15.0"/>
      <color rgb="FF000000"/>
      <name val="Cantarell"/>
    </font>
    <font>
      <sz val="20.0"/>
      <color rgb="FF000000"/>
      <name val="Cantarell"/>
    </font>
    <font>
      <sz val="11.0"/>
      <color rgb="FFFF0000"/>
      <name val="Cantarell"/>
    </font>
  </fonts>
  <fills count="52">
    <fill>
      <patternFill patternType="none"/>
    </fill>
    <fill>
      <patternFill patternType="lightGray"/>
    </fill>
    <fill>
      <patternFill patternType="solid">
        <fgColor rgb="FFB6B2C7"/>
        <bgColor rgb="FFB6B2C7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F9CB9C"/>
        <bgColor rgb="FFF9CB9C"/>
      </patternFill>
    </fill>
    <fill>
      <patternFill patternType="solid">
        <fgColor rgb="FFCCCCCC"/>
        <bgColor rgb="FFCCCCCC"/>
      </patternFill>
    </fill>
    <fill>
      <patternFill patternType="solid">
        <fgColor rgb="FF3074D4"/>
        <bgColor rgb="FF3074D4"/>
      </patternFill>
    </fill>
    <fill>
      <patternFill patternType="solid">
        <fgColor rgb="FFA4C2F4"/>
        <bgColor rgb="FFA4C2F4"/>
      </patternFill>
    </fill>
    <fill>
      <patternFill patternType="solid">
        <fgColor rgb="FFA6C6E6"/>
        <bgColor rgb="FFA6C6E6"/>
      </patternFill>
    </fill>
    <fill>
      <patternFill patternType="solid">
        <fgColor rgb="FFC9DAF8"/>
        <bgColor rgb="FFC9DAF8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CC0000"/>
        <bgColor rgb="FFCC0000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77BC65"/>
        <bgColor rgb="FF77BC65"/>
      </patternFill>
    </fill>
    <fill>
      <patternFill patternType="solid">
        <fgColor rgb="FFDD7E6B"/>
        <bgColor rgb="FFDD7E6B"/>
      </patternFill>
    </fill>
    <fill>
      <patternFill patternType="solid">
        <fgColor rgb="FFEC9BA4"/>
        <bgColor rgb="FFEC9BA4"/>
      </patternFill>
    </fill>
    <fill>
      <patternFill patternType="solid">
        <fgColor rgb="FF674EA7"/>
        <bgColor rgb="FF674EA7"/>
      </patternFill>
    </fill>
    <fill>
      <patternFill patternType="solid">
        <fgColor rgb="FFFFA6A6"/>
        <bgColor rgb="FFFFA6A6"/>
      </patternFill>
    </fill>
    <fill>
      <patternFill patternType="solid">
        <fgColor rgb="FF3D85C6"/>
        <bgColor rgb="FF3D85C6"/>
      </patternFill>
    </fill>
    <fill>
      <patternFill patternType="solid">
        <fgColor rgb="FFAF6A0A"/>
        <bgColor rgb="FFAF6A0A"/>
      </patternFill>
    </fill>
    <fill>
      <patternFill patternType="solid">
        <fgColor rgb="FFA64D79"/>
        <bgColor rgb="FFA64D79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B6D7A8"/>
        <bgColor rgb="FFB6D7A8"/>
      </patternFill>
    </fill>
    <fill>
      <patternFill patternType="solid">
        <fgColor rgb="FF5983B0"/>
        <bgColor rgb="FF5983B0"/>
      </patternFill>
    </fill>
    <fill>
      <patternFill patternType="solid">
        <fgColor rgb="FF3FAF46"/>
        <bgColor rgb="FF3FAF46"/>
      </patternFill>
    </fill>
    <fill>
      <patternFill patternType="solid">
        <fgColor rgb="FFFFF2CC"/>
        <bgColor rgb="FFFFF2CC"/>
      </patternFill>
    </fill>
    <fill>
      <patternFill patternType="solid">
        <fgColor rgb="FF999999"/>
        <bgColor rgb="FF999999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DDA66E"/>
        <bgColor rgb="FFDDA66E"/>
      </patternFill>
    </fill>
    <fill>
      <patternFill patternType="solid">
        <fgColor rgb="FFE7C39E"/>
        <bgColor rgb="FFE7C39E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93C47D"/>
        <bgColor rgb="FF93C47D"/>
      </patternFill>
    </fill>
    <fill>
      <patternFill patternType="solid">
        <fgColor rgb="FFEA4335"/>
        <bgColor rgb="FFEA4335"/>
      </patternFill>
    </fill>
    <fill>
      <patternFill patternType="solid">
        <fgColor rgb="FFBF9000"/>
        <bgColor rgb="FFBF9000"/>
      </patternFill>
    </fill>
    <fill>
      <patternFill patternType="solid">
        <fgColor rgb="FF13710A"/>
        <bgColor rgb="FF13710A"/>
      </patternFill>
    </fill>
    <fill>
      <patternFill patternType="solid">
        <fgColor rgb="FF000000"/>
        <bgColor rgb="FF000000"/>
      </patternFill>
    </fill>
    <fill>
      <patternFill patternType="solid">
        <fgColor rgb="FFFBBC04"/>
        <bgColor rgb="FFFBBC04"/>
      </patternFill>
    </fill>
    <fill>
      <patternFill patternType="solid">
        <fgColor rgb="FFFF9900"/>
        <bgColor rgb="FFFF9900"/>
      </patternFill>
    </fill>
    <fill>
      <patternFill patternType="solid">
        <fgColor rgb="FF70A0E2"/>
        <bgColor rgb="FF70A0E2"/>
      </patternFill>
    </fill>
  </fills>
  <borders count="10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/>
      <right/>
      <top/>
      <bottom/>
    </border>
    <border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/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/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/>
      <top style="medium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top/>
      <bottom/>
    </border>
    <border>
      <top/>
      <bottom/>
    </border>
    <border>
      <right/>
      <top/>
      <bottom/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0"/>
    </xf>
    <xf borderId="1" fillId="3" fontId="4" numFmtId="0" xfId="0" applyAlignment="1" applyBorder="1" applyFill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3" fontId="4" numFmtId="0" xfId="0" applyAlignment="1" applyBorder="1" applyFont="1">
      <alignment horizontal="center" shrinkToFit="0" vertical="center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3" fontId="1" numFmtId="0" xfId="0" applyAlignment="1" applyBorder="1" applyFont="1">
      <alignment horizontal="center" shrinkToFit="0" vertical="center" wrapText="0"/>
    </xf>
    <xf borderId="11" fillId="4" fontId="1" numFmtId="164" xfId="0" applyAlignment="1" applyBorder="1" applyFill="1" applyFont="1" applyNumberFormat="1">
      <alignment horizontal="center" shrinkToFit="0" vertical="center" wrapText="0"/>
    </xf>
    <xf borderId="10" fillId="5" fontId="1" numFmtId="0" xfId="0" applyAlignment="1" applyBorder="1" applyFill="1" applyFont="1">
      <alignment horizontal="center" shrinkToFit="0" vertical="center" wrapText="0"/>
    </xf>
    <xf borderId="10" fillId="6" fontId="1" numFmtId="0" xfId="0" applyAlignment="1" applyBorder="1" applyFill="1" applyFont="1">
      <alignment horizontal="center" shrinkToFit="0" vertical="center" wrapText="0"/>
    </xf>
    <xf borderId="4" fillId="5" fontId="1" numFmtId="0" xfId="0" applyAlignment="1" applyBorder="1" applyFont="1">
      <alignment horizontal="center" shrinkToFit="0" vertical="center" wrapText="0"/>
    </xf>
    <xf borderId="10" fillId="4" fontId="1" numFmtId="0" xfId="0" applyAlignment="1" applyBorder="1" applyFont="1">
      <alignment horizontal="center" shrinkToFit="0" vertical="center" wrapText="0"/>
    </xf>
    <xf borderId="12" fillId="4" fontId="1" numFmtId="0" xfId="0" applyAlignment="1" applyBorder="1" applyFont="1">
      <alignment horizontal="center" shrinkToFit="0" vertical="center" wrapText="0"/>
    </xf>
    <xf borderId="11" fillId="4" fontId="1" numFmtId="0" xfId="0" applyAlignment="1" applyBorder="1" applyFon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0"/>
    </xf>
    <xf borderId="10" fillId="7" fontId="1" numFmtId="0" xfId="0" applyAlignment="1" applyBorder="1" applyFill="1" applyFont="1">
      <alignment horizontal="center" shrinkToFit="0" vertical="center" wrapText="0"/>
    </xf>
    <xf borderId="10" fillId="7" fontId="1" numFmtId="2" xfId="0" applyAlignment="1" applyBorder="1" applyFont="1" applyNumberFormat="1">
      <alignment horizontal="center" shrinkToFit="0" vertical="center" wrapText="0"/>
    </xf>
    <xf borderId="12" fillId="7" fontId="1" numFmtId="0" xfId="0" applyAlignment="1" applyBorder="1" applyFont="1">
      <alignment horizontal="center" shrinkToFit="0" vertical="center" wrapText="0"/>
    </xf>
    <xf borderId="11" fillId="7" fontId="1" numFmtId="164" xfId="0" applyAlignment="1" applyBorder="1" applyFont="1" applyNumberFormat="1">
      <alignment horizontal="center" shrinkToFit="0" vertical="center" wrapText="0"/>
    </xf>
    <xf borderId="13" fillId="3" fontId="4" numFmtId="0" xfId="0" applyAlignment="1" applyBorder="1" applyFont="1">
      <alignment horizontal="center" shrinkToFit="0" textRotation="90" vertical="center" wrapText="1"/>
    </xf>
    <xf borderId="11" fillId="7" fontId="1" numFmtId="2" xfId="0" applyAlignment="1" applyBorder="1" applyFont="1" applyNumberFormat="1">
      <alignment horizontal="center" shrinkToFit="0" vertical="center" wrapText="0"/>
    </xf>
    <xf borderId="14" fillId="7" fontId="1" numFmtId="0" xfId="0" applyAlignment="1" applyBorder="1" applyFont="1">
      <alignment horizontal="center" shrinkToFit="0" vertical="center" wrapText="0"/>
    </xf>
    <xf borderId="15" fillId="0" fontId="2" numFmtId="0" xfId="0" applyBorder="1" applyFont="1"/>
    <xf borderId="1" fillId="8" fontId="5" numFmtId="0" xfId="0" applyAlignment="1" applyBorder="1" applyFill="1" applyFont="1">
      <alignment horizontal="center" shrinkToFit="0" vertical="center" wrapText="0"/>
    </xf>
    <xf borderId="10" fillId="9" fontId="1" numFmtId="0" xfId="0" applyAlignment="1" applyBorder="1" applyFill="1" applyFont="1">
      <alignment horizontal="center" shrinkToFit="0" vertical="center" wrapText="0"/>
    </xf>
    <xf borderId="10" fillId="10" fontId="1" numFmtId="0" xfId="0" applyAlignment="1" applyBorder="1" applyFill="1" applyFont="1">
      <alignment horizontal="center" readingOrder="0" shrinkToFit="0" vertical="center" wrapText="0"/>
    </xf>
    <xf borderId="10" fillId="10" fontId="1" numFmtId="0" xfId="0" applyAlignment="1" applyBorder="1" applyFont="1">
      <alignment horizontal="center" shrinkToFit="0" vertical="center" wrapText="0"/>
    </xf>
    <xf borderId="16" fillId="9" fontId="1" numFmtId="0" xfId="0" applyAlignment="1" applyBorder="1" applyFont="1">
      <alignment horizontal="center" shrinkToFit="0" vertical="center" wrapText="0"/>
    </xf>
    <xf borderId="16" fillId="11" fontId="1" numFmtId="0" xfId="0" applyAlignment="1" applyBorder="1" applyFill="1" applyFont="1">
      <alignment horizontal="center" shrinkToFit="0" vertical="center" wrapText="0"/>
    </xf>
    <xf borderId="0" fillId="0" fontId="6" numFmtId="0" xfId="0" applyFont="1"/>
    <xf borderId="4" fillId="9" fontId="1" numFmtId="0" xfId="0" applyAlignment="1" applyBorder="1" applyFont="1">
      <alignment horizontal="center" shrinkToFit="0" vertical="center" wrapText="0"/>
    </xf>
    <xf borderId="17" fillId="0" fontId="1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10" fillId="12" fontId="1" numFmtId="0" xfId="0" applyAlignment="1" applyBorder="1" applyFill="1" applyFont="1">
      <alignment horizontal="center" shrinkToFit="0" vertical="center" wrapText="0"/>
    </xf>
    <xf borderId="4" fillId="12" fontId="1" numFmtId="0" xfId="0" applyAlignment="1" applyBorder="1" applyFont="1">
      <alignment horizontal="center" shrinkToFit="0" vertical="center" wrapText="0"/>
    </xf>
    <xf borderId="4" fillId="12" fontId="1" numFmtId="0" xfId="0" applyAlignment="1" applyBorder="1" applyFont="1">
      <alignment horizontal="center" readingOrder="0" shrinkToFit="0" vertical="center" wrapText="0"/>
    </xf>
    <xf borderId="17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bottom" wrapText="0"/>
    </xf>
    <xf borderId="18" fillId="0" fontId="1" numFmtId="0" xfId="0" applyAlignment="1" applyBorder="1" applyFont="1">
      <alignment horizontal="center" shrinkToFit="0" vertical="center" wrapText="0"/>
    </xf>
    <xf borderId="11" fillId="7" fontId="1" numFmtId="0" xfId="0" applyAlignment="1" applyBorder="1" applyFont="1">
      <alignment horizontal="center" shrinkToFit="0" vertical="center" wrapText="0"/>
    </xf>
    <xf borderId="1" fillId="8" fontId="4" numFmtId="0" xfId="0" applyAlignment="1" applyBorder="1" applyFont="1">
      <alignment horizontal="center" shrinkToFit="0" vertical="center" wrapText="0"/>
    </xf>
    <xf borderId="4" fillId="13" fontId="1" numFmtId="0" xfId="0" applyAlignment="1" applyBorder="1" applyFill="1" applyFont="1">
      <alignment horizontal="center" readingOrder="0" shrinkToFit="0" vertical="center" wrapText="0"/>
    </xf>
    <xf borderId="10" fillId="14" fontId="1" numFmtId="0" xfId="0" applyAlignment="1" applyBorder="1" applyFill="1" applyFont="1">
      <alignment horizontal="center" shrinkToFit="0" vertical="center" wrapText="0"/>
    </xf>
    <xf borderId="19" fillId="15" fontId="1" numFmtId="0" xfId="0" applyAlignment="1" applyBorder="1" applyFill="1" applyFont="1">
      <alignment horizontal="center" shrinkToFit="0" vertical="center" wrapText="0"/>
    </xf>
    <xf borderId="20" fillId="0" fontId="2" numFmtId="0" xfId="0" applyBorder="1" applyFont="1"/>
    <xf borderId="21" fillId="0" fontId="2" numFmtId="0" xfId="0" applyBorder="1" applyFont="1"/>
    <xf borderId="22" fillId="16" fontId="1" numFmtId="0" xfId="0" applyAlignment="1" applyBorder="1" applyFill="1" applyFont="1">
      <alignment horizontal="center" readingOrder="0" shrinkToFit="0" vertical="center" wrapText="0"/>
    </xf>
    <xf borderId="22" fillId="16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4" fillId="15" fontId="1" numFmtId="0" xfId="0" applyAlignment="1" applyBorder="1" applyFont="1">
      <alignment horizontal="center" shrinkToFit="0" vertical="center" wrapText="0"/>
    </xf>
    <xf borderId="10" fillId="16" fontId="1" numFmtId="2" xfId="0" applyAlignment="1" applyBorder="1" applyFont="1" applyNumberFormat="1">
      <alignment horizontal="center" shrinkToFit="0" vertical="center" wrapText="0"/>
    </xf>
    <xf borderId="0" fillId="0" fontId="1" numFmtId="2" xfId="0" applyAlignment="1" applyFont="1" applyNumberFormat="1">
      <alignment horizontal="center" shrinkToFit="0" vertical="center" wrapText="0"/>
    </xf>
    <xf borderId="23" fillId="0" fontId="2" numFmtId="0" xfId="0" applyBorder="1" applyFont="1"/>
    <xf borderId="0" fillId="0" fontId="4" numFmtId="0" xfId="0" applyAlignment="1" applyFont="1">
      <alignment horizontal="center" shrinkToFit="0" textRotation="90" vertical="center" wrapText="1"/>
    </xf>
    <xf borderId="4" fillId="17" fontId="1" numFmtId="0" xfId="0" applyAlignment="1" applyBorder="1" applyFill="1" applyFont="1">
      <alignment horizontal="center" shrinkToFit="0" vertical="center" wrapText="0"/>
    </xf>
    <xf borderId="10" fillId="18" fontId="1" numFmtId="2" xfId="0" applyAlignment="1" applyBorder="1" applyFill="1" applyFont="1" applyNumberFormat="1">
      <alignment horizontal="center" shrinkToFit="0" vertical="center" wrapText="0"/>
    </xf>
    <xf borderId="10" fillId="18" fontId="1" numFmtId="165" xfId="0" applyAlignment="1" applyBorder="1" applyFont="1" applyNumberFormat="1">
      <alignment horizontal="center" shrinkToFit="0" vertical="center" wrapText="0"/>
    </xf>
    <xf borderId="0" fillId="0" fontId="1" numFmtId="165" xfId="0" applyAlignment="1" applyFont="1" applyNumberFormat="1">
      <alignment horizontal="center" shrinkToFit="0" vertical="center" wrapText="0"/>
    </xf>
    <xf borderId="1" fillId="17" fontId="1" numFmtId="0" xfId="0" applyAlignment="1" applyBorder="1" applyFont="1">
      <alignment horizontal="center" shrinkToFit="0" vertical="center" wrapText="1"/>
    </xf>
    <xf borderId="13" fillId="18" fontId="1" numFmtId="4" xfId="0" applyAlignment="1" applyBorder="1" applyFont="1" applyNumberFormat="1">
      <alignment horizontal="center" shrinkToFit="0" vertical="center" wrapText="0"/>
    </xf>
    <xf borderId="0" fillId="0" fontId="1" numFmtId="4" xfId="0" applyAlignment="1" applyFont="1" applyNumberFormat="1">
      <alignment horizontal="center" shrinkToFit="0" vertical="center" wrapText="0"/>
    </xf>
    <xf borderId="14" fillId="0" fontId="2" numFmtId="0" xfId="0" applyBorder="1" applyFont="1"/>
    <xf borderId="4" fillId="19" fontId="1" numFmtId="0" xfId="0" applyAlignment="1" applyBorder="1" applyFill="1" applyFont="1">
      <alignment horizontal="center" shrinkToFit="0" vertical="center" wrapText="0"/>
    </xf>
    <xf borderId="10" fillId="20" fontId="1" numFmtId="0" xfId="0" applyAlignment="1" applyBorder="1" applyFill="1" applyFont="1">
      <alignment horizontal="center" shrinkToFit="0" vertical="center" wrapText="0"/>
    </xf>
    <xf borderId="10" fillId="18" fontId="1" numFmtId="0" xfId="0" applyAlignment="1" applyBorder="1" applyFont="1">
      <alignment horizontal="center" shrinkToFit="0" vertical="center" wrapText="0"/>
    </xf>
    <xf borderId="4" fillId="20" fontId="1" numFmtId="0" xfId="0" applyAlignment="1" applyBorder="1" applyFont="1">
      <alignment horizontal="center" shrinkToFit="0" vertical="center" wrapText="0"/>
    </xf>
    <xf borderId="24" fillId="21" fontId="1" numFmtId="0" xfId="0" applyAlignment="1" applyBorder="1" applyFill="1" applyFont="1">
      <alignment horizontal="center" shrinkToFit="0" vertical="center" wrapText="0"/>
    </xf>
    <xf borderId="24" fillId="21" fontId="7" numFmtId="0" xfId="0" applyAlignment="1" applyBorder="1" applyFont="1">
      <alignment horizontal="center" shrinkToFit="0" vertical="center" wrapText="0"/>
    </xf>
    <xf borderId="25" fillId="0" fontId="1" numFmtId="0" xfId="0" applyAlignment="1" applyBorder="1" applyFont="1">
      <alignment horizontal="center" shrinkToFit="0" vertical="center" wrapText="0"/>
    </xf>
    <xf borderId="26" fillId="21" fontId="1" numFmtId="0" xfId="0" applyAlignment="1" applyBorder="1" applyFont="1">
      <alignment horizontal="center" shrinkToFit="0" vertical="center" wrapText="0"/>
    </xf>
    <xf borderId="27" fillId="21" fontId="1" numFmtId="0" xfId="0" applyAlignment="1" applyBorder="1" applyFont="1">
      <alignment horizontal="center" shrinkToFit="0" vertical="center" wrapText="0"/>
    </xf>
    <xf borderId="28" fillId="21" fontId="1" numFmtId="0" xfId="0" applyAlignment="1" applyBorder="1" applyFont="1">
      <alignment horizontal="center" shrinkToFit="0" vertical="center" wrapText="0"/>
    </xf>
    <xf borderId="29" fillId="21" fontId="1" numFmtId="0" xfId="0" applyAlignment="1" applyBorder="1" applyFont="1">
      <alignment horizontal="center" shrinkToFit="0" vertical="center" wrapText="0"/>
    </xf>
    <xf borderId="30" fillId="21" fontId="1" numFmtId="0" xfId="0" applyAlignment="1" applyBorder="1" applyFont="1">
      <alignment horizontal="center" shrinkToFit="0" vertical="center" wrapText="0"/>
    </xf>
    <xf borderId="31" fillId="0" fontId="2" numFmtId="0" xfId="0" applyBorder="1" applyFont="1"/>
    <xf borderId="32" fillId="15" fontId="1" numFmtId="0" xfId="0" applyAlignment="1" applyBorder="1" applyFont="1">
      <alignment horizontal="center" readingOrder="0" shrinkToFit="0" vertical="center" wrapText="0"/>
    </xf>
    <xf borderId="33" fillId="0" fontId="1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horizontal="center" shrinkToFit="0" vertical="center" wrapText="0"/>
    </xf>
    <xf borderId="30" fillId="0" fontId="1" numFmtId="0" xfId="0" applyAlignment="1" applyBorder="1" applyFont="1">
      <alignment horizontal="center" shrinkToFit="0" vertical="center" wrapText="0"/>
    </xf>
    <xf borderId="35" fillId="0" fontId="1" numFmtId="2" xfId="0" applyAlignment="1" applyBorder="1" applyFont="1" applyNumberFormat="1">
      <alignment horizontal="center" shrinkToFit="0" vertical="center" wrapText="0"/>
    </xf>
    <xf borderId="36" fillId="0" fontId="2" numFmtId="0" xfId="0" applyBorder="1" applyFont="1"/>
    <xf borderId="4" fillId="21" fontId="1" numFmtId="0" xfId="0" applyAlignment="1" applyBorder="1" applyFont="1">
      <alignment horizontal="center" shrinkToFit="0" vertical="center" wrapText="0"/>
    </xf>
    <xf borderId="35" fillId="15" fontId="1" numFmtId="166" xfId="0" applyAlignment="1" applyBorder="1" applyFont="1" applyNumberFormat="1">
      <alignment horizontal="center" shrinkToFit="0" vertical="center" wrapText="0"/>
    </xf>
    <xf borderId="37" fillId="0" fontId="1" numFmtId="0" xfId="0" applyAlignment="1" applyBorder="1" applyFont="1">
      <alignment horizontal="center" shrinkToFit="0" vertical="center" wrapText="0"/>
    </xf>
    <xf borderId="10" fillId="0" fontId="1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35" fillId="0" fontId="1" numFmtId="2" xfId="0" applyAlignment="1" applyBorder="1" applyFont="1" applyNumberFormat="1">
      <alignment horizontal="center" shrinkToFit="0" vertical="center" wrapText="1"/>
    </xf>
    <xf borderId="38" fillId="0" fontId="1" numFmtId="0" xfId="0" applyAlignment="1" applyBorder="1" applyFont="1">
      <alignment horizontal="center" shrinkToFit="0" vertical="center" wrapText="0"/>
    </xf>
    <xf borderId="39" fillId="22" fontId="1" numFmtId="2" xfId="0" applyAlignment="1" applyBorder="1" applyFill="1" applyFont="1" applyNumberFormat="1">
      <alignment horizontal="center" shrinkToFit="0" vertical="center" wrapText="0"/>
    </xf>
    <xf borderId="39" fillId="22" fontId="1" numFmtId="0" xfId="0" applyAlignment="1" applyBorder="1" applyFont="1">
      <alignment horizontal="center" shrinkToFit="0" vertical="center" wrapText="0"/>
    </xf>
    <xf borderId="35" fillId="0" fontId="1" numFmtId="167" xfId="0" applyAlignment="1" applyBorder="1" applyFont="1" applyNumberFormat="1">
      <alignment horizontal="center" shrinkToFit="0" vertical="center" wrapText="0"/>
    </xf>
    <xf borderId="39" fillId="23" fontId="1" numFmtId="0" xfId="0" applyAlignment="1" applyBorder="1" applyFill="1" applyFont="1">
      <alignment horizontal="center" readingOrder="0" shrinkToFit="0" vertical="center" wrapText="0"/>
    </xf>
    <xf borderId="40" fillId="0" fontId="1" numFmtId="0" xfId="0" applyAlignment="1" applyBorder="1" applyFont="1">
      <alignment horizontal="center" shrinkToFit="0" vertical="center" wrapText="0"/>
    </xf>
    <xf borderId="13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35" fillId="0" fontId="1" numFmtId="165" xfId="0" applyAlignment="1" applyBorder="1" applyFont="1" applyNumberFormat="1">
      <alignment horizontal="center" shrinkToFit="0" vertical="center" wrapText="0"/>
    </xf>
    <xf borderId="39" fillId="23" fontId="1" numFmtId="0" xfId="0" applyAlignment="1" applyBorder="1" applyFont="1">
      <alignment horizontal="center" shrinkToFit="0" vertical="center" wrapText="0"/>
    </xf>
    <xf borderId="35" fillId="21" fontId="1" numFmtId="2" xfId="0" applyAlignment="1" applyBorder="1" applyFont="1" applyNumberFormat="1">
      <alignment horizontal="center" shrinkToFit="0" vertical="center" wrapText="0"/>
    </xf>
    <xf borderId="41" fillId="0" fontId="1" numFmtId="0" xfId="0" applyAlignment="1" applyBorder="1" applyFont="1">
      <alignment horizontal="center" shrinkToFit="0" vertical="center" wrapText="0"/>
    </xf>
    <xf borderId="42" fillId="0" fontId="1" numFmtId="0" xfId="0" applyAlignment="1" applyBorder="1" applyFont="1">
      <alignment horizontal="center" shrinkToFit="0" vertical="center" wrapText="0"/>
    </xf>
    <xf borderId="43" fillId="0" fontId="1" numFmtId="0" xfId="0" applyAlignment="1" applyBorder="1" applyFont="1">
      <alignment horizontal="center" shrinkToFit="0" vertical="center" wrapText="0"/>
    </xf>
    <xf borderId="39" fillId="15" fontId="1" numFmtId="0" xfId="0" applyAlignment="1" applyBorder="1" applyFont="1">
      <alignment horizontal="center" shrinkToFit="0" vertical="center" wrapText="0"/>
    </xf>
    <xf borderId="44" fillId="0" fontId="1" numFmtId="0" xfId="0" applyAlignment="1" applyBorder="1" applyFont="1">
      <alignment horizontal="center" shrinkToFit="0" vertical="center" wrapText="0"/>
    </xf>
    <xf borderId="45" fillId="15" fontId="1" numFmtId="1" xfId="0" applyAlignment="1" applyBorder="1" applyFont="1" applyNumberFormat="1">
      <alignment horizontal="center" shrinkToFit="0" vertical="center" wrapText="0"/>
    </xf>
    <xf borderId="24" fillId="21" fontId="8" numFmtId="0" xfId="0" applyAlignment="1" applyBorder="1" applyFont="1">
      <alignment horizontal="center" shrinkToFit="0" vertical="center" wrapText="0"/>
    </xf>
    <xf borderId="46" fillId="0" fontId="1" numFmtId="0" xfId="0" applyAlignment="1" applyBorder="1" applyFont="1">
      <alignment horizontal="center" shrinkToFit="0" vertical="center" wrapText="0"/>
    </xf>
    <xf borderId="47" fillId="0" fontId="1" numFmtId="0" xfId="0" applyAlignment="1" applyBorder="1" applyFont="1">
      <alignment horizontal="center" shrinkToFit="0" vertical="center" wrapText="0"/>
    </xf>
    <xf borderId="48" fillId="24" fontId="1" numFmtId="2" xfId="0" applyAlignment="1" applyBorder="1" applyFill="1" applyFont="1" applyNumberFormat="1">
      <alignment horizontal="center" shrinkToFit="0" vertical="center" wrapText="0"/>
    </xf>
    <xf borderId="33" fillId="25" fontId="1" numFmtId="0" xfId="0" applyAlignment="1" applyBorder="1" applyFill="1" applyFont="1">
      <alignment horizontal="center" shrinkToFit="0" vertical="center" wrapText="0"/>
    </xf>
    <xf borderId="30" fillId="25" fontId="1" numFmtId="0" xfId="0" applyAlignment="1" applyBorder="1" applyFont="1">
      <alignment horizontal="center" shrinkToFit="0" vertical="center" wrapText="0"/>
    </xf>
    <xf borderId="49" fillId="25" fontId="1" numFmtId="2" xfId="0" applyAlignment="1" applyBorder="1" applyFont="1" applyNumberFormat="1">
      <alignment horizontal="center" shrinkToFit="0" vertical="center" wrapText="0"/>
    </xf>
    <xf borderId="39" fillId="24" fontId="1" numFmtId="2" xfId="0" applyAlignment="1" applyBorder="1" applyFont="1" applyNumberFormat="1">
      <alignment horizontal="center" shrinkToFit="0" vertical="center" wrapText="0"/>
    </xf>
    <xf borderId="37" fillId="25" fontId="1" numFmtId="0" xfId="0" applyAlignment="1" applyBorder="1" applyFont="1">
      <alignment horizontal="center" shrinkToFit="0" vertical="center" wrapText="0"/>
    </xf>
    <xf borderId="10" fillId="25" fontId="1" numFmtId="0" xfId="0" applyAlignment="1" applyBorder="1" applyFont="1">
      <alignment horizontal="center" shrinkToFit="0" vertical="center" wrapText="0"/>
    </xf>
    <xf borderId="50" fillId="25" fontId="1" numFmtId="0" xfId="0" applyAlignment="1" applyBorder="1" applyFont="1">
      <alignment horizontal="center" shrinkToFit="0" vertical="center" wrapText="0"/>
    </xf>
    <xf borderId="39" fillId="25" fontId="1" numFmtId="2" xfId="0" applyAlignment="1" applyBorder="1" applyFont="1" applyNumberFormat="1">
      <alignment horizontal="center" shrinkToFit="0" vertical="center" wrapText="0"/>
    </xf>
    <xf borderId="39" fillId="24" fontId="1" numFmtId="167" xfId="0" applyAlignment="1" applyBorder="1" applyFont="1" applyNumberFormat="1">
      <alignment horizontal="center" shrinkToFit="0" vertical="center" wrapText="0"/>
    </xf>
    <xf borderId="39" fillId="25" fontId="1" numFmtId="0" xfId="0" applyAlignment="1" applyBorder="1" applyFont="1">
      <alignment horizontal="center" shrinkToFit="0" vertical="center" wrapText="0"/>
    </xf>
    <xf borderId="45" fillId="24" fontId="1" numFmtId="2" xfId="0" applyAlignment="1" applyBorder="1" applyFont="1" applyNumberFormat="1">
      <alignment horizontal="center" shrinkToFit="0" vertical="center" wrapText="0"/>
    </xf>
    <xf borderId="51" fillId="20" fontId="1" numFmtId="0" xfId="0" applyAlignment="1" applyBorder="1" applyFont="1">
      <alignment horizontal="center" shrinkToFit="0" vertical="center" wrapText="0"/>
    </xf>
    <xf borderId="52" fillId="26" fontId="1" numFmtId="0" xfId="0" applyAlignment="1" applyBorder="1" applyFill="1" applyFont="1">
      <alignment horizontal="center" shrinkToFit="0" vertical="center" wrapText="0"/>
    </xf>
    <xf borderId="53" fillId="20" fontId="1" numFmtId="0" xfId="0" applyAlignment="1" applyBorder="1" applyFont="1">
      <alignment horizontal="center" shrinkToFit="0" vertical="center" wrapText="0"/>
    </xf>
    <xf borderId="53" fillId="20" fontId="1" numFmtId="165" xfId="0" applyAlignment="1" applyBorder="1" applyFont="1" applyNumberFormat="1">
      <alignment horizontal="center" shrinkToFit="0" vertical="center" wrapText="0"/>
    </xf>
    <xf borderId="54" fillId="0" fontId="1" numFmtId="0" xfId="0" applyAlignment="1" applyBorder="1" applyFont="1">
      <alignment horizontal="center" shrinkToFit="0" vertical="center" wrapText="0"/>
    </xf>
    <xf borderId="55" fillId="0" fontId="1" numFmtId="0" xfId="0" applyAlignment="1" applyBorder="1" applyFont="1">
      <alignment horizontal="center" shrinkToFit="0" vertical="center" wrapText="0"/>
    </xf>
    <xf borderId="32" fillId="0" fontId="1" numFmtId="167" xfId="0" applyAlignment="1" applyBorder="1" applyFont="1" applyNumberFormat="1">
      <alignment horizontal="center" shrinkToFit="0" vertical="center" wrapText="0"/>
    </xf>
    <xf borderId="56" fillId="25" fontId="3" numFmtId="0" xfId="0" applyAlignment="1" applyBorder="1" applyFont="1">
      <alignment horizontal="center" shrinkToFit="0" vertical="center" wrapText="0"/>
    </xf>
    <xf borderId="16" fillId="25" fontId="3" numFmtId="0" xfId="0" applyAlignment="1" applyBorder="1" applyFont="1">
      <alignment horizontal="center" shrinkToFit="0" vertical="center" wrapText="0"/>
    </xf>
    <xf borderId="57" fillId="25" fontId="3" numFmtId="0" xfId="0" applyAlignment="1" applyBorder="1" applyFont="1">
      <alignment horizontal="center" shrinkToFit="0" vertical="center" wrapText="0"/>
    </xf>
    <xf borderId="57" fillId="25" fontId="3" numFmtId="2" xfId="0" applyAlignment="1" applyBorder="1" applyFont="1" applyNumberFormat="1">
      <alignment horizontal="center" shrinkToFit="0" vertical="center" wrapText="0"/>
    </xf>
    <xf borderId="58" fillId="0" fontId="1" numFmtId="0" xfId="0" applyAlignment="1" applyBorder="1" applyFont="1">
      <alignment horizontal="center" shrinkToFit="0" vertical="center" wrapText="0"/>
    </xf>
    <xf borderId="16" fillId="0" fontId="1" numFmtId="0" xfId="0" applyAlignment="1" applyBorder="1" applyFont="1">
      <alignment horizontal="center" shrinkToFit="0" vertical="center" wrapText="0"/>
    </xf>
    <xf borderId="35" fillId="21" fontId="1" numFmtId="167" xfId="0" applyAlignment="1" applyBorder="1" applyFont="1" applyNumberFormat="1">
      <alignment horizontal="center" shrinkToFit="0" vertical="center" wrapText="0"/>
    </xf>
    <xf borderId="59" fillId="23" fontId="1" numFmtId="0" xfId="0" applyAlignment="1" applyBorder="1" applyFont="1">
      <alignment horizontal="center" shrinkToFit="0" vertical="center" wrapText="0"/>
    </xf>
    <xf borderId="60" fillId="23" fontId="1" numFmtId="0" xfId="0" applyAlignment="1" applyBorder="1" applyFont="1">
      <alignment horizontal="center" shrinkToFit="0" vertical="center" wrapText="0"/>
    </xf>
    <xf borderId="61" fillId="23" fontId="1" numFmtId="0" xfId="0" applyAlignment="1" applyBorder="1" applyFont="1">
      <alignment horizontal="center" shrinkToFit="0" vertical="center" wrapText="0"/>
    </xf>
    <xf borderId="39" fillId="21" fontId="1" numFmtId="164" xfId="0" applyAlignment="1" applyBorder="1" applyFont="1" applyNumberFormat="1">
      <alignment horizontal="center" shrinkToFit="0" vertical="center" wrapText="0"/>
    </xf>
    <xf borderId="62" fillId="25" fontId="1" numFmtId="0" xfId="0" applyAlignment="1" applyBorder="1" applyFont="1">
      <alignment horizontal="center" shrinkToFit="0" vertical="center" wrapText="0"/>
    </xf>
    <xf borderId="63" fillId="25" fontId="1" numFmtId="0" xfId="0" applyAlignment="1" applyBorder="1" applyFont="1">
      <alignment horizontal="center" shrinkToFit="0" vertical="center" wrapText="0"/>
    </xf>
    <xf borderId="64" fillId="25" fontId="1" numFmtId="2" xfId="0" applyAlignment="1" applyBorder="1" applyFont="1" applyNumberFormat="1">
      <alignment horizontal="center" shrinkToFit="0" vertical="center" wrapText="0"/>
    </xf>
    <xf borderId="39" fillId="21" fontId="1" numFmtId="165" xfId="0" applyAlignment="1" applyBorder="1" applyFont="1" applyNumberFormat="1">
      <alignment horizontal="center" shrinkToFit="0" vertical="center" wrapText="0"/>
    </xf>
    <xf borderId="65" fillId="27" fontId="1" numFmtId="0" xfId="0" applyAlignment="1" applyBorder="1" applyFill="1" applyFont="1">
      <alignment horizontal="center" shrinkToFit="0" vertical="center" wrapText="0"/>
    </xf>
    <xf borderId="66" fillId="27" fontId="1" numFmtId="0" xfId="0" applyAlignment="1" applyBorder="1" applyFont="1">
      <alignment horizontal="center" shrinkToFit="0" vertical="center" wrapText="0"/>
    </xf>
    <xf borderId="39" fillId="27" fontId="1" numFmtId="165" xfId="0" applyAlignment="1" applyBorder="1" applyFont="1" applyNumberFormat="1">
      <alignment horizontal="center" shrinkToFit="0" vertical="center" wrapText="0"/>
    </xf>
    <xf borderId="39" fillId="21" fontId="1" numFmtId="2" xfId="0" applyAlignment="1" applyBorder="1" applyFont="1" applyNumberFormat="1">
      <alignment horizontal="center" shrinkToFit="0" vertical="center" wrapText="0"/>
    </xf>
    <xf borderId="67" fillId="27" fontId="1" numFmtId="0" xfId="0" applyAlignment="1" applyBorder="1" applyFont="1">
      <alignment horizontal="center" shrinkToFit="0" vertical="center" wrapText="0"/>
    </xf>
    <xf borderId="68" fillId="27" fontId="1" numFmtId="0" xfId="0" applyAlignment="1" applyBorder="1" applyFont="1">
      <alignment horizontal="center" shrinkToFit="0" vertical="center" wrapText="0"/>
    </xf>
    <xf borderId="45" fillId="27" fontId="1" numFmtId="165" xfId="0" applyAlignment="1" applyBorder="1" applyFont="1" applyNumberFormat="1">
      <alignment horizontal="center" shrinkToFit="0" vertical="center" wrapText="0"/>
    </xf>
    <xf borderId="39" fillId="21" fontId="1" numFmtId="1" xfId="0" applyAlignment="1" applyBorder="1" applyFont="1" applyNumberFormat="1">
      <alignment horizontal="center" shrinkToFit="0" vertical="center" wrapText="0"/>
    </xf>
    <xf borderId="69" fillId="21" fontId="1" numFmtId="0" xfId="0" applyAlignment="1" applyBorder="1" applyFont="1">
      <alignment horizontal="center" shrinkToFit="0" vertical="center" wrapText="0"/>
    </xf>
    <xf borderId="58" fillId="21" fontId="1" numFmtId="0" xfId="0" applyAlignment="1" applyBorder="1" applyFont="1">
      <alignment horizontal="center" shrinkToFit="0" vertical="center" wrapText="0"/>
    </xf>
    <xf borderId="16" fillId="21" fontId="1" numFmtId="0" xfId="0" applyAlignment="1" applyBorder="1" applyFont="1">
      <alignment horizontal="center" shrinkToFit="0" vertical="center" wrapText="0"/>
    </xf>
    <xf borderId="45" fillId="0" fontId="1" numFmtId="167" xfId="0" applyAlignment="1" applyBorder="1" applyFont="1" applyNumberFormat="1">
      <alignment horizontal="center" shrinkToFit="0" vertical="center" wrapText="0"/>
    </xf>
    <xf borderId="24" fillId="21" fontId="1" numFmtId="167" xfId="0" applyAlignment="1" applyBorder="1" applyFont="1" applyNumberFormat="1">
      <alignment horizontal="center" shrinkToFit="0" vertical="center" wrapText="0"/>
    </xf>
    <xf borderId="49" fillId="0" fontId="1" numFmtId="167" xfId="0" applyAlignment="1" applyBorder="1" applyFont="1" applyNumberFormat="1">
      <alignment horizontal="center" shrinkToFit="0" vertical="center" wrapText="0"/>
    </xf>
    <xf borderId="39" fillId="0" fontId="1" numFmtId="167" xfId="0" applyAlignment="1" applyBorder="1" applyFont="1" applyNumberFormat="1">
      <alignment horizontal="center" shrinkToFit="0" vertical="center" wrapText="0"/>
    </xf>
    <xf borderId="39" fillId="21" fontId="1" numFmtId="167" xfId="0" applyAlignment="1" applyBorder="1" applyFont="1" applyNumberFormat="1">
      <alignment horizontal="center" shrinkToFit="0" vertical="center" wrapText="0"/>
    </xf>
    <xf borderId="39" fillId="21" fontId="1" numFmtId="168" xfId="0" applyAlignment="1" applyBorder="1" applyFont="1" applyNumberFormat="1">
      <alignment horizontal="center" shrinkToFit="0" vertical="center" wrapText="0"/>
    </xf>
    <xf borderId="70" fillId="21" fontId="1" numFmtId="168" xfId="0" applyAlignment="1" applyBorder="1" applyFont="1" applyNumberFormat="1">
      <alignment horizontal="center" shrinkToFit="0" vertical="center" wrapText="0"/>
    </xf>
    <xf borderId="45" fillId="0" fontId="1" numFmtId="2" xfId="0" applyAlignment="1" applyBorder="1" applyFont="1" applyNumberFormat="1">
      <alignment horizontal="center" shrinkToFit="0" vertical="center" wrapText="0"/>
    </xf>
    <xf borderId="71" fillId="21" fontId="1" numFmtId="0" xfId="0" applyAlignment="1" applyBorder="1" applyFont="1">
      <alignment horizontal="center" shrinkToFit="0" vertical="center" wrapText="0"/>
    </xf>
    <xf borderId="1" fillId="8" fontId="9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vertical="bottom" wrapText="0"/>
    </xf>
    <xf borderId="10" fillId="9" fontId="1" numFmtId="0" xfId="0" applyAlignment="1" applyBorder="1" applyFont="1">
      <alignment shrinkToFit="0" vertical="top" wrapText="0"/>
    </xf>
    <xf borderId="10" fillId="10" fontId="1" numFmtId="0" xfId="0" applyAlignment="1" applyBorder="1" applyFont="1">
      <alignment horizontal="right" shrinkToFit="0" vertical="top" wrapText="0"/>
    </xf>
    <xf borderId="4" fillId="9" fontId="5" numFmtId="0" xfId="0" applyAlignment="1" applyBorder="1" applyFont="1">
      <alignment horizontal="center" shrinkToFit="0" vertical="center" wrapText="0"/>
    </xf>
    <xf borderId="10" fillId="28" fontId="1" numFmtId="0" xfId="0" applyAlignment="1" applyBorder="1" applyFill="1" applyFont="1">
      <alignment shrinkToFit="0" vertical="center" wrapText="0"/>
    </xf>
    <xf borderId="10" fillId="11" fontId="1" numFmtId="0" xfId="0" applyAlignment="1" applyBorder="1" applyFont="1">
      <alignment shrinkToFit="0" vertical="bottom" wrapText="0"/>
    </xf>
    <xf borderId="10" fillId="11" fontId="1" numFmtId="167" xfId="0" applyAlignment="1" applyBorder="1" applyFont="1" applyNumberFormat="1">
      <alignment shrinkToFit="0" vertical="center" wrapText="0"/>
    </xf>
    <xf borderId="10" fillId="28" fontId="1" numFmtId="0" xfId="0" applyAlignment="1" applyBorder="1" applyFont="1">
      <alignment shrinkToFit="0" vertical="bottom" wrapText="0"/>
    </xf>
    <xf borderId="12" fillId="15" fontId="1" numFmtId="165" xfId="0" applyAlignment="1" applyBorder="1" applyFont="1" applyNumberFormat="1">
      <alignment shrinkToFit="0" vertical="bottom" wrapText="0"/>
    </xf>
    <xf borderId="72" fillId="29" fontId="5" numFmtId="0" xfId="0" applyAlignment="1" applyBorder="1" applyFill="1" applyFont="1">
      <alignment horizontal="center" shrinkToFit="0" vertical="top" wrapText="0"/>
    </xf>
    <xf borderId="0" fillId="0" fontId="1" numFmtId="0" xfId="0" applyAlignment="1" applyFont="1">
      <alignment shrinkToFit="0" vertical="top" wrapText="0"/>
    </xf>
    <xf borderId="4" fillId="19" fontId="1" numFmtId="0" xfId="0" applyAlignment="1" applyBorder="1" applyFont="1">
      <alignment shrinkToFit="0" vertical="top" wrapText="1"/>
    </xf>
    <xf borderId="4" fillId="13" fontId="1" numFmtId="0" xfId="0" applyAlignment="1" applyBorder="1" applyFont="1">
      <alignment shrinkToFit="0" vertical="center" wrapText="0"/>
    </xf>
    <xf borderId="10" fillId="7" fontId="1" numFmtId="2" xfId="0" applyAlignment="1" applyBorder="1" applyFont="1" applyNumberFormat="1">
      <alignment shrinkToFit="0" vertical="center" wrapText="0"/>
    </xf>
    <xf borderId="10" fillId="19" fontId="1" numFmtId="0" xfId="0" applyAlignment="1" applyBorder="1" applyFont="1">
      <alignment shrinkToFit="0" vertical="bottom" wrapText="0"/>
    </xf>
    <xf borderId="10" fillId="15" fontId="1" numFmtId="0" xfId="0" applyAlignment="1" applyBorder="1" applyFont="1">
      <alignment shrinkToFit="0" vertical="bottom" wrapText="0"/>
    </xf>
    <xf borderId="10" fillId="7" fontId="1" numFmtId="165" xfId="0" applyAlignment="1" applyBorder="1" applyFont="1" applyNumberFormat="1">
      <alignment shrinkToFit="0" vertical="center" wrapText="0"/>
    </xf>
    <xf borderId="10" fillId="18" fontId="1" numFmtId="165" xfId="0" applyAlignment="1" applyBorder="1" applyFont="1" applyNumberFormat="1">
      <alignment shrinkToFit="0" vertical="bottom" wrapText="0"/>
    </xf>
    <xf borderId="4" fillId="13" fontId="1" numFmtId="0" xfId="0" applyAlignment="1" applyBorder="1" applyFont="1">
      <alignment shrinkToFit="0" vertical="bottom" wrapText="0"/>
    </xf>
    <xf borderId="10" fillId="7" fontId="1" numFmtId="2" xfId="0" applyAlignment="1" applyBorder="1" applyFont="1" applyNumberFormat="1">
      <alignment shrinkToFit="0" vertical="bottom" wrapText="0"/>
    </xf>
    <xf borderId="10" fillId="3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4" fillId="30" fontId="1" numFmtId="0" xfId="0" applyAlignment="1" applyBorder="1" applyFill="1" applyFont="1">
      <alignment horizontal="center" shrinkToFit="0" vertical="bottom" wrapText="0"/>
    </xf>
    <xf borderId="13" fillId="3" fontId="11" numFmtId="0" xfId="0" applyAlignment="1" applyBorder="1" applyFont="1">
      <alignment horizontal="center" shrinkToFit="0" textRotation="90" vertical="center" wrapText="0"/>
    </xf>
    <xf borderId="73" fillId="31" fontId="1" numFmtId="2" xfId="0" applyAlignment="1" applyBorder="1" applyFill="1" applyFont="1" applyNumberFormat="1">
      <alignment shrinkToFit="0" vertical="bottom" wrapText="0"/>
    </xf>
    <xf borderId="22" fillId="31" fontId="1" numFmtId="2" xfId="0" applyAlignment="1" applyBorder="1" applyFont="1" applyNumberFormat="1">
      <alignment shrinkToFit="0" vertical="bottom" wrapText="0"/>
    </xf>
    <xf borderId="74" fillId="31" fontId="1" numFmtId="2" xfId="0" applyAlignment="1" applyBorder="1" applyFont="1" applyNumberFormat="1">
      <alignment shrinkToFit="0" vertical="bottom" wrapText="0"/>
    </xf>
    <xf borderId="10" fillId="5" fontId="1" numFmtId="0" xfId="0" applyAlignment="1" applyBorder="1" applyFont="1">
      <alignment shrinkToFit="0" vertical="bottom" wrapText="0"/>
    </xf>
    <xf borderId="75" fillId="31" fontId="1" numFmtId="2" xfId="0" applyAlignment="1" applyBorder="1" applyFont="1" applyNumberFormat="1">
      <alignment shrinkToFit="0" vertical="bottom" wrapText="0"/>
    </xf>
    <xf borderId="76" fillId="6" fontId="1" numFmtId="165" xfId="0" applyAlignment="1" applyBorder="1" applyFont="1" applyNumberFormat="1">
      <alignment shrinkToFit="0" vertical="bottom" wrapText="0"/>
    </xf>
    <xf borderId="76" fillId="6" fontId="1" numFmtId="2" xfId="0" applyAlignment="1" applyBorder="1" applyFont="1" applyNumberFormat="1">
      <alignment shrinkToFit="0" vertical="bottom" wrapText="0"/>
    </xf>
    <xf borderId="13" fillId="32" fontId="11" numFmtId="0" xfId="0" applyAlignment="1" applyBorder="1" applyFill="1" applyFont="1">
      <alignment horizontal="center" shrinkToFit="0" textRotation="90" vertical="center" wrapText="0"/>
    </xf>
    <xf borderId="77" fillId="32" fontId="1" numFmtId="0" xfId="0" applyAlignment="1" applyBorder="1" applyFont="1">
      <alignment shrinkToFit="0" vertical="bottom" wrapText="0"/>
    </xf>
    <xf borderId="10" fillId="32" fontId="1" numFmtId="2" xfId="0" applyAlignment="1" applyBorder="1" applyFont="1" applyNumberFormat="1">
      <alignment shrinkToFit="0" vertical="bottom" wrapText="0"/>
    </xf>
    <xf borderId="78" fillId="0" fontId="2" numFmtId="0" xfId="0" applyBorder="1" applyFont="1"/>
    <xf borderId="79" fillId="0" fontId="2" numFmtId="0" xfId="0" applyBorder="1" applyFont="1"/>
    <xf borderId="80" fillId="15" fontId="11" numFmtId="0" xfId="0" applyAlignment="1" applyBorder="1" applyFont="1">
      <alignment horizontal="center" shrinkToFit="0" textRotation="90" vertical="center" wrapText="0"/>
    </xf>
    <xf borderId="80" fillId="33" fontId="1" numFmtId="0" xfId="0" applyAlignment="1" applyBorder="1" applyFill="1" applyFont="1">
      <alignment shrinkToFit="0" vertical="bottom" wrapText="0"/>
    </xf>
    <xf borderId="10" fillId="33" fontId="1" numFmtId="2" xfId="0" applyAlignment="1" applyBorder="1" applyFont="1" applyNumberFormat="1">
      <alignment shrinkToFit="0" vertical="bottom" wrapText="0"/>
    </xf>
    <xf borderId="81" fillId="0" fontId="2" numFmtId="0" xfId="0" applyBorder="1" applyFont="1"/>
    <xf borderId="82" fillId="0" fontId="2" numFmtId="0" xfId="0" applyBorder="1" applyFont="1"/>
    <xf borderId="12" fillId="6" fontId="1" numFmtId="165" xfId="0" applyAlignment="1" applyBorder="1" applyFont="1" applyNumberFormat="1">
      <alignment shrinkToFit="0" vertical="bottom" wrapText="0"/>
    </xf>
    <xf borderId="12" fillId="6" fontId="1" numFmtId="2" xfId="0" applyAlignment="1" applyBorder="1" applyFont="1" applyNumberFormat="1">
      <alignment shrinkToFit="0" vertical="bottom" wrapText="0"/>
    </xf>
    <xf borderId="0" fillId="0" fontId="1" numFmtId="169" xfId="0" applyAlignment="1" applyFont="1" applyNumberFormat="1">
      <alignment horizontal="center" shrinkToFit="0" vertical="bottom" wrapText="0"/>
    </xf>
    <xf borderId="83" fillId="0" fontId="12" numFmtId="0" xfId="0" applyAlignment="1" applyBorder="1" applyFont="1">
      <alignment horizontal="center" shrinkToFit="0" vertical="center" wrapText="0"/>
    </xf>
    <xf borderId="84" fillId="0" fontId="2" numFmtId="0" xfId="0" applyBorder="1" applyFont="1"/>
    <xf borderId="85" fillId="0" fontId="2" numFmtId="0" xfId="0" applyBorder="1" applyFont="1"/>
    <xf borderId="86" fillId="0" fontId="2" numFmtId="0" xfId="0" applyBorder="1" applyFont="1"/>
    <xf borderId="87" fillId="0" fontId="2" numFmtId="0" xfId="0" applyBorder="1" applyFont="1"/>
    <xf borderId="88" fillId="0" fontId="4" numFmtId="0" xfId="0" applyAlignment="1" applyBorder="1" applyFont="1">
      <alignment horizontal="center" shrinkToFit="0" vertical="center" wrapText="0"/>
    </xf>
    <xf borderId="89" fillId="0" fontId="2" numFmtId="0" xfId="0" applyBorder="1" applyFont="1"/>
    <xf borderId="90" fillId="0" fontId="2" numFmtId="0" xfId="0" applyBorder="1" applyFont="1"/>
    <xf borderId="86" fillId="0" fontId="1" numFmtId="0" xfId="0" applyAlignment="1" applyBorder="1" applyFont="1">
      <alignment horizontal="center" shrinkToFit="0" vertical="bottom" wrapText="0"/>
    </xf>
    <xf borderId="16" fillId="34" fontId="1" numFmtId="0" xfId="0" applyAlignment="1" applyBorder="1" applyFill="1" applyFont="1">
      <alignment horizontal="center" shrinkToFit="0" vertical="bottom" wrapText="0"/>
    </xf>
    <xf borderId="58" fillId="34" fontId="1" numFmtId="165" xfId="0" applyAlignment="1" applyBorder="1" applyFont="1" applyNumberFormat="1">
      <alignment horizontal="center" shrinkToFit="0" vertical="bottom" wrapText="0"/>
    </xf>
    <xf borderId="16" fillId="35" fontId="1" numFmtId="0" xfId="0" applyAlignment="1" applyBorder="1" applyFill="1" applyFont="1">
      <alignment horizontal="center" shrinkToFit="0" vertical="bottom" wrapText="0"/>
    </xf>
    <xf borderId="16" fillId="35" fontId="1" numFmtId="170" xfId="0" applyAlignment="1" applyBorder="1" applyFont="1" applyNumberFormat="1">
      <alignment horizontal="center" shrinkToFit="0" vertical="bottom" wrapText="0"/>
    </xf>
    <xf borderId="91" fillId="34" fontId="1" numFmtId="0" xfId="0" applyAlignment="1" applyBorder="1" applyFont="1">
      <alignment horizontal="center" shrinkToFit="0" vertical="center" wrapText="0"/>
    </xf>
    <xf borderId="35" fillId="34" fontId="1" numFmtId="165" xfId="0" applyAlignment="1" applyBorder="1" applyFont="1" applyNumberForma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" numFmtId="2" xfId="0" applyAlignment="1" applyFont="1" applyNumberFormat="1">
      <alignment horizontal="center" shrinkToFit="0" vertical="bottom" wrapText="0"/>
    </xf>
    <xf borderId="92" fillId="0" fontId="2" numFmtId="0" xfId="0" applyBorder="1" applyFont="1"/>
    <xf borderId="58" fillId="34" fontId="1" numFmtId="1" xfId="0" applyAlignment="1" applyBorder="1" applyFont="1" applyNumberFormat="1">
      <alignment horizontal="center" shrinkToFit="0" vertical="bottom" wrapText="0"/>
    </xf>
    <xf borderId="86" fillId="0" fontId="1" numFmtId="2" xfId="0" applyAlignment="1" applyBorder="1" applyFont="1" applyNumberFormat="1">
      <alignment horizontal="center" shrinkToFit="0" vertical="bottom" wrapText="0"/>
    </xf>
    <xf borderId="16" fillId="34" fontId="1" numFmtId="2" xfId="0" applyAlignment="1" applyBorder="1" applyFont="1" applyNumberFormat="1">
      <alignment horizontal="center" shrinkToFit="0" vertical="bottom" wrapText="0"/>
    </xf>
    <xf borderId="58" fillId="34" fontId="1" numFmtId="2" xfId="0" applyAlignment="1" applyBorder="1" applyFont="1" applyNumberFormat="1">
      <alignment horizontal="center" shrinkToFit="0" vertical="bottom" wrapText="0"/>
    </xf>
    <xf borderId="16" fillId="34" fontId="1" numFmtId="170" xfId="0" applyAlignment="1" applyBorder="1" applyFont="1" applyNumberFormat="1">
      <alignment horizontal="center" shrinkToFit="0" vertical="bottom" wrapText="0"/>
    </xf>
    <xf borderId="16" fillId="34" fontId="1" numFmtId="165" xfId="0" applyAlignment="1" applyBorder="1" applyFont="1" applyNumberFormat="1">
      <alignment horizontal="center" shrinkToFit="0" vertical="bottom" wrapText="0"/>
    </xf>
    <xf borderId="0" fillId="0" fontId="1" numFmtId="170" xfId="0" applyAlignment="1" applyFont="1" applyNumberFormat="1">
      <alignment horizontal="center" shrinkToFit="0" vertical="bottom" wrapText="0"/>
    </xf>
    <xf borderId="58" fillId="35" fontId="1" numFmtId="2" xfId="0" applyAlignment="1" applyBorder="1" applyFont="1" applyNumberFormat="1">
      <alignment horizontal="center" shrinkToFit="0" vertical="bottom" wrapText="0"/>
    </xf>
    <xf borderId="35" fillId="34" fontId="1" numFmtId="2" xfId="0" applyAlignment="1" applyBorder="1" applyFont="1" applyNumberFormat="1">
      <alignment horizontal="center" shrinkToFit="0" vertical="bottom" wrapText="0"/>
    </xf>
    <xf borderId="93" fillId="34" fontId="1" numFmtId="0" xfId="0" applyAlignment="1" applyBorder="1" applyFont="1">
      <alignment horizontal="center" shrinkToFit="0" vertical="bottom" wrapText="0"/>
    </xf>
    <xf borderId="94" fillId="34" fontId="1" numFmtId="0" xfId="0" applyAlignment="1" applyBorder="1" applyFont="1">
      <alignment horizontal="center" shrinkToFit="0" vertical="bottom" wrapText="0"/>
    </xf>
    <xf borderId="94" fillId="34" fontId="1" numFmtId="2" xfId="0" applyAlignment="1" applyBorder="1" applyFont="1" applyNumberFormat="1">
      <alignment horizontal="center" shrinkToFit="0" vertical="bottom" wrapText="0"/>
    </xf>
    <xf borderId="13" fillId="3" fontId="1" numFmtId="0" xfId="0" applyAlignment="1" applyBorder="1" applyFont="1">
      <alignment horizontal="center" shrinkToFit="0" vertical="center" wrapText="0"/>
    </xf>
    <xf borderId="10" fillId="31" fontId="1" numFmtId="0" xfId="0" applyAlignment="1" applyBorder="1" applyFont="1">
      <alignment horizontal="center" shrinkToFit="0" vertical="center" wrapText="0"/>
    </xf>
    <xf borderId="10" fillId="36" fontId="1" numFmtId="0" xfId="0" applyAlignment="1" applyBorder="1" applyFill="1" applyFont="1">
      <alignment horizontal="center" shrinkToFit="0" vertical="center" wrapText="0"/>
    </xf>
    <xf borderId="10" fillId="36" fontId="1" numFmtId="171" xfId="0" applyAlignment="1" applyBorder="1" applyFont="1" applyNumberFormat="1">
      <alignment horizontal="center" shrinkToFit="0" vertical="center" wrapText="0"/>
    </xf>
    <xf borderId="4" fillId="37" fontId="5" numFmtId="0" xfId="0" applyAlignment="1" applyBorder="1" applyFill="1" applyFont="1">
      <alignment horizontal="center" shrinkToFit="0" vertical="center" wrapText="0"/>
    </xf>
    <xf borderId="10" fillId="36" fontId="1" numFmtId="172" xfId="0" applyAlignment="1" applyBorder="1" applyFont="1" applyNumberFormat="1">
      <alignment horizontal="center" shrinkToFit="0" vertical="center" wrapText="0"/>
    </xf>
    <xf borderId="4" fillId="30" fontId="1" numFmtId="0" xfId="0" applyAlignment="1" applyBorder="1" applyFont="1">
      <alignment horizontal="center" shrinkToFit="0" vertical="center" wrapText="0"/>
    </xf>
    <xf borderId="4" fillId="26" fontId="1" numFmtId="0" xfId="0" applyAlignment="1" applyBorder="1" applyFont="1">
      <alignment horizontal="center" shrinkToFit="0" vertical="center" wrapText="0"/>
    </xf>
    <xf borderId="10" fillId="6" fontId="1" numFmtId="171" xfId="0" applyAlignment="1" applyBorder="1" applyFont="1" applyNumberFormat="1">
      <alignment horizontal="center" shrinkToFit="0" vertical="center" wrapText="0"/>
    </xf>
    <xf borderId="10" fillId="38" fontId="1" numFmtId="0" xfId="0" applyAlignment="1" applyBorder="1" applyFill="1" applyFont="1">
      <alignment horizontal="center" shrinkToFit="0" vertical="center" wrapText="0"/>
    </xf>
    <xf borderId="10" fillId="39" fontId="1" numFmtId="0" xfId="0" applyAlignment="1" applyBorder="1" applyFill="1" applyFont="1">
      <alignment horizontal="center" shrinkToFit="0" vertical="center" wrapText="0"/>
    </xf>
    <xf borderId="4" fillId="29" fontId="5" numFmtId="0" xfId="0" applyAlignment="1" applyBorder="1" applyFont="1">
      <alignment horizontal="center" shrinkToFit="0" vertical="center" wrapText="0"/>
    </xf>
    <xf borderId="10" fillId="39" fontId="1" numFmtId="171" xfId="0" applyAlignment="1" applyBorder="1" applyFont="1" applyNumberFormat="1">
      <alignment horizontal="center" shrinkToFit="0" vertical="center" wrapText="0"/>
    </xf>
    <xf borderId="10" fillId="40" fontId="1" numFmtId="0" xfId="0" applyAlignment="1" applyBorder="1" applyFill="1" applyFont="1">
      <alignment horizontal="center" shrinkToFit="0" vertical="center" wrapText="0"/>
    </xf>
    <xf borderId="10" fillId="41" fontId="1" numFmtId="171" xfId="0" applyAlignment="1" applyBorder="1" applyFill="1" applyFont="1" applyNumberFormat="1">
      <alignment horizontal="center" shrinkToFit="0" vertical="center" wrapText="0"/>
    </xf>
    <xf borderId="10" fillId="41" fontId="1" numFmtId="172" xfId="0" applyAlignment="1" applyBorder="1" applyFont="1" applyNumberFormat="1">
      <alignment horizontal="center" shrinkToFit="0" vertical="center" wrapText="0"/>
    </xf>
    <xf borderId="10" fillId="17" fontId="1" numFmtId="0" xfId="0" applyAlignment="1" applyBorder="1" applyFont="1">
      <alignment horizontal="center" shrinkToFit="0" vertical="center" wrapText="0"/>
    </xf>
    <xf borderId="10" fillId="17" fontId="1" numFmtId="172" xfId="0" applyAlignment="1" applyBorder="1" applyFont="1" applyNumberFormat="1">
      <alignment horizontal="center" shrinkToFit="0" vertical="center" wrapText="0"/>
    </xf>
    <xf borderId="4" fillId="3" fontId="5" numFmtId="0" xfId="0" applyAlignment="1" applyBorder="1" applyFont="1">
      <alignment horizontal="center" shrinkToFit="0" vertical="center" wrapText="0"/>
    </xf>
    <xf borderId="10" fillId="5" fontId="1" numFmtId="0" xfId="0" applyAlignment="1" applyBorder="1" applyFont="1">
      <alignment horizontal="center" shrinkToFit="0" vertical="bottom" wrapText="0"/>
    </xf>
    <xf borderId="10" fillId="6" fontId="1" numFmtId="0" xfId="0" applyAlignment="1" applyBorder="1" applyFont="1">
      <alignment horizontal="center" shrinkToFit="0" vertical="bottom" wrapText="0"/>
    </xf>
    <xf borderId="10" fillId="38" fontId="1" numFmtId="0" xfId="0" applyAlignment="1" applyBorder="1" applyFont="1">
      <alignment horizontal="center" shrinkToFit="0" vertical="bottom" wrapText="0"/>
    </xf>
    <xf borderId="10" fillId="39" fontId="13" numFmtId="171" xfId="0" applyAlignment="1" applyBorder="1" applyFont="1" applyNumberFormat="1">
      <alignment horizontal="center" shrinkToFit="0" vertical="bottom" wrapText="0"/>
    </xf>
    <xf borderId="10" fillId="4" fontId="1" numFmtId="171" xfId="0" applyAlignment="1" applyBorder="1" applyFont="1" applyNumberFormat="1">
      <alignment horizontal="center" shrinkToFit="0" vertical="center" wrapText="0"/>
    </xf>
    <xf borderId="10" fillId="39" fontId="13" numFmtId="0" xfId="0" applyAlignment="1" applyBorder="1" applyFont="1">
      <alignment horizontal="center" shrinkToFit="0" vertical="center" wrapText="0"/>
    </xf>
    <xf borderId="22" fillId="6" fontId="1" numFmtId="171" xfId="0" applyAlignment="1" applyBorder="1" applyFont="1" applyNumberFormat="1">
      <alignment horizontal="center" shrinkToFit="0" vertical="center" wrapText="0"/>
    </xf>
    <xf borderId="50" fillId="5" fontId="1" numFmtId="0" xfId="0" applyAlignment="1" applyBorder="1" applyFont="1">
      <alignment horizontal="center" shrinkToFit="0" vertical="center" wrapText="0"/>
    </xf>
    <xf borderId="73" fillId="6" fontId="1" numFmtId="0" xfId="0" applyAlignment="1" applyBorder="1" applyFont="1">
      <alignment horizontal="center" shrinkToFit="0" vertical="center" wrapText="0"/>
    </xf>
    <xf borderId="74" fillId="42" fontId="1" numFmtId="0" xfId="0" applyAlignment="1" applyBorder="1" applyFill="1" applyFont="1">
      <alignment horizontal="center" shrinkToFit="0" vertical="center" wrapText="0"/>
    </xf>
    <xf borderId="95" fillId="38" fontId="1" numFmtId="0" xfId="0" applyAlignment="1" applyBorder="1" applyFont="1">
      <alignment horizontal="center" shrinkToFit="0" vertical="center" wrapText="0"/>
    </xf>
    <xf borderId="50" fillId="6" fontId="1" numFmtId="171" xfId="0" applyAlignment="1" applyBorder="1" applyFont="1" applyNumberFormat="1">
      <alignment horizontal="center" shrinkToFit="0" vertical="center" wrapText="0"/>
    </xf>
    <xf borderId="95" fillId="42" fontId="1" numFmtId="0" xfId="0" applyAlignment="1" applyBorder="1" applyFont="1">
      <alignment horizontal="center" shrinkToFit="0" vertical="center" wrapText="0"/>
    </xf>
    <xf borderId="10" fillId="17" fontId="1" numFmtId="171" xfId="0" applyAlignment="1" applyBorder="1" applyFont="1" applyNumberFormat="1">
      <alignment horizontal="center" shrinkToFit="0" vertical="center" wrapText="0"/>
    </xf>
    <xf borderId="50" fillId="6" fontId="1" numFmtId="0" xfId="0" applyAlignment="1" applyBorder="1" applyFont="1">
      <alignment horizontal="center" shrinkToFit="0" vertical="center" wrapText="0"/>
    </xf>
    <xf borderId="4" fillId="28" fontId="4" numFmtId="0" xfId="0" applyAlignment="1" applyBorder="1" applyFont="1">
      <alignment horizontal="center" shrinkToFit="0" vertical="center" wrapText="0"/>
    </xf>
    <xf borderId="10" fillId="43" fontId="1" numFmtId="0" xfId="0" applyAlignment="1" applyBorder="1" applyFill="1" applyFont="1">
      <alignment horizontal="center" shrinkToFit="0" vertical="center" wrapText="0"/>
    </xf>
    <xf borderId="10" fillId="43" fontId="1" numFmtId="172" xfId="0" applyAlignment="1" applyBorder="1" applyFont="1" applyNumberFormat="1">
      <alignment horizontal="center" shrinkToFit="0" vertical="center" wrapText="0"/>
    </xf>
    <xf borderId="10" fillId="15" fontId="4" numFmtId="0" xfId="0" applyAlignment="1" applyBorder="1" applyFont="1">
      <alignment horizontal="center" shrinkToFit="0" vertical="center" wrapText="0"/>
    </xf>
    <xf borderId="10" fillId="44" fontId="1" numFmtId="0" xfId="0" applyAlignment="1" applyBorder="1" applyFill="1" applyFont="1">
      <alignment horizontal="center" shrinkToFit="0" vertical="center" wrapText="0"/>
    </xf>
    <xf borderId="10" fillId="45" fontId="1" numFmtId="0" xfId="0" applyAlignment="1" applyBorder="1" applyFill="1" applyFont="1">
      <alignment horizontal="center" shrinkToFit="0" vertical="center" wrapText="0"/>
    </xf>
    <xf borderId="4" fillId="15" fontId="1" numFmtId="0" xfId="0" applyAlignment="1" applyBorder="1" applyFont="1">
      <alignment horizontal="center" shrinkToFit="0" vertical="bottom" wrapText="0"/>
    </xf>
    <xf borderId="10" fillId="33" fontId="1" numFmtId="0" xfId="0" applyAlignment="1" applyBorder="1" applyFont="1">
      <alignment horizontal="center" shrinkToFit="0" vertical="center" wrapText="0"/>
    </xf>
    <xf borderId="10" fillId="33" fontId="1" numFmtId="172" xfId="0" applyAlignment="1" applyBorder="1" applyFont="1" applyNumberFormat="1">
      <alignment horizontal="center" shrinkToFit="0" vertical="center" wrapText="0"/>
    </xf>
    <xf borderId="4" fillId="46" fontId="1" numFmtId="0" xfId="0" applyAlignment="1" applyBorder="1" applyFill="1" applyFont="1">
      <alignment horizontal="center" shrinkToFit="0" vertical="center" wrapText="0"/>
    </xf>
    <xf borderId="4" fillId="47" fontId="14" numFmtId="0" xfId="0" applyAlignment="1" applyBorder="1" applyFill="1" applyFont="1">
      <alignment horizontal="center" shrinkToFit="0" vertical="center" wrapText="0"/>
    </xf>
    <xf borderId="96" fillId="0" fontId="4" numFmtId="0" xfId="0" applyAlignment="1" applyBorder="1" applyFont="1">
      <alignment horizontal="center" shrinkToFit="0" vertical="center" wrapText="0"/>
    </xf>
    <xf borderId="10" fillId="15" fontId="1" numFmtId="0" xfId="0" applyAlignment="1" applyBorder="1" applyFont="1">
      <alignment horizontal="center" shrinkToFit="0" vertical="center" wrapText="0"/>
    </xf>
    <xf borderId="50" fillId="15" fontId="1" numFmtId="0" xfId="0" applyAlignment="1" applyBorder="1" applyFont="1">
      <alignment horizontal="center" shrinkToFit="0" vertical="center" wrapText="0"/>
    </xf>
    <xf borderId="97" fillId="0" fontId="2" numFmtId="0" xfId="0" applyBorder="1" applyFont="1"/>
    <xf borderId="13" fillId="31" fontId="15" numFmtId="0" xfId="0" applyAlignment="1" applyBorder="1" applyFont="1">
      <alignment horizontal="center" shrinkToFit="0" vertical="center" wrapText="1"/>
    </xf>
    <xf borderId="10" fillId="36" fontId="1" numFmtId="0" xfId="0" applyAlignment="1" applyBorder="1" applyFont="1">
      <alignment horizontal="center" shrinkToFit="0" vertical="center" wrapText="1"/>
    </xf>
    <xf borderId="50" fillId="36" fontId="1" numFmtId="172" xfId="0" applyAlignment="1" applyBorder="1" applyFont="1" applyNumberFormat="1">
      <alignment horizontal="center" shrinkToFit="0" vertical="center" wrapText="0"/>
    </xf>
    <xf borderId="96" fillId="0" fontId="4" numFmtId="0" xfId="0" applyAlignment="1" applyBorder="1" applyFont="1">
      <alignment horizontal="center" shrinkToFit="0" textRotation="90" vertical="center" wrapText="0"/>
    </xf>
    <xf borderId="12" fillId="42" fontId="1" numFmtId="0" xfId="0" applyAlignment="1" applyBorder="1" applyFont="1">
      <alignment horizontal="center" shrinkToFit="0" vertical="center" wrapText="0"/>
    </xf>
    <xf borderId="98" fillId="0" fontId="2" numFmtId="0" xfId="0" applyBorder="1" applyFont="1"/>
    <xf borderId="10" fillId="42" fontId="1" numFmtId="0" xfId="0" applyAlignment="1" applyBorder="1" applyFont="1">
      <alignment horizontal="center" shrinkToFit="0" vertical="center" wrapText="0"/>
    </xf>
    <xf borderId="4" fillId="37" fontId="1" numFmtId="0" xfId="0" applyAlignment="1" applyBorder="1" applyFont="1">
      <alignment horizontal="center" shrinkToFit="0" vertical="bottom" wrapText="0"/>
    </xf>
    <xf borderId="10" fillId="48" fontId="1" numFmtId="0" xfId="0" applyAlignment="1" applyBorder="1" applyFill="1" applyFont="1">
      <alignment horizontal="center" shrinkToFit="0" vertical="center" wrapText="0"/>
    </xf>
    <xf borderId="13" fillId="31" fontId="16" numFmtId="0" xfId="0" applyAlignment="1" applyBorder="1" applyFont="1">
      <alignment horizontal="center" shrinkToFit="0" textRotation="90" vertical="center" wrapText="0"/>
    </xf>
    <xf borderId="10" fillId="36" fontId="1" numFmtId="0" xfId="0" applyAlignment="1" applyBorder="1" applyFont="1">
      <alignment horizontal="center" shrinkToFit="0" vertical="bottom" wrapText="0"/>
    </xf>
    <xf borderId="50" fillId="36" fontId="1" numFmtId="171" xfId="0" applyAlignment="1" applyBorder="1" applyFont="1" applyNumberFormat="1">
      <alignment horizontal="center" shrinkToFit="0" vertical="center" wrapText="0"/>
    </xf>
    <xf borderId="99" fillId="37" fontId="1" numFmtId="0" xfId="0" applyAlignment="1" applyBorder="1" applyFont="1">
      <alignment horizontal="center" shrinkToFit="0" vertical="center" wrapText="0"/>
    </xf>
    <xf borderId="100" fillId="0" fontId="2" numFmtId="0" xfId="0" applyBorder="1" applyFont="1"/>
    <xf borderId="101" fillId="0" fontId="2" numFmtId="0" xfId="0" applyBorder="1" applyFont="1"/>
    <xf borderId="50" fillId="36" fontId="1" numFmtId="172" xfId="0" applyAlignment="1" applyBorder="1" applyFont="1" applyNumberFormat="1">
      <alignment horizontal="center" shrinkToFit="0" vertical="bottom" wrapText="0"/>
    </xf>
    <xf borderId="4" fillId="37" fontId="1" numFmtId="0" xfId="0" applyAlignment="1" applyBorder="1" applyFont="1">
      <alignment horizontal="center" shrinkToFit="0" vertical="center" wrapText="0"/>
    </xf>
    <xf borderId="10" fillId="49" fontId="1" numFmtId="0" xfId="0" applyAlignment="1" applyBorder="1" applyFill="1" applyFont="1">
      <alignment horizontal="center" shrinkToFit="0" vertical="center" wrapText="0"/>
    </xf>
    <xf borderId="10" fillId="44" fontId="17" numFmtId="0" xfId="0" applyAlignment="1" applyBorder="1" applyFont="1">
      <alignment horizontal="center" shrinkToFit="0" vertical="center" wrapText="0"/>
    </xf>
    <xf borderId="4" fillId="42" fontId="1" numFmtId="0" xfId="0" applyAlignment="1" applyBorder="1" applyFont="1">
      <alignment horizontal="center" shrinkToFit="0" vertical="center" wrapText="0"/>
    </xf>
    <xf borderId="10" fillId="39" fontId="1" numFmtId="0" xfId="0" applyAlignment="1" applyBorder="1" applyFont="1">
      <alignment horizontal="center" shrinkToFit="0" vertical="bottom" wrapText="0"/>
    </xf>
    <xf borderId="10" fillId="39" fontId="1" numFmtId="172" xfId="0" applyAlignment="1" applyBorder="1" applyFont="1" applyNumberFormat="1">
      <alignment horizontal="center" shrinkToFit="0" vertical="center" wrapText="0"/>
    </xf>
    <xf borderId="50" fillId="8" fontId="1" numFmtId="0" xfId="0" applyAlignment="1" applyBorder="1" applyFont="1">
      <alignment horizontal="center" shrinkToFit="0" vertical="center" wrapText="0"/>
    </xf>
    <xf borderId="10" fillId="33" fontId="1" numFmtId="171" xfId="0" applyAlignment="1" applyBorder="1" applyFont="1" applyNumberFormat="1">
      <alignment horizontal="center" shrinkToFit="0" vertical="center" wrapText="0"/>
    </xf>
    <xf borderId="10" fillId="39" fontId="1" numFmtId="172" xfId="0" applyAlignment="1" applyBorder="1" applyFont="1" applyNumberFormat="1">
      <alignment horizontal="center" shrinkToFit="0" vertical="bottom" wrapText="0"/>
    </xf>
    <xf borderId="10" fillId="50" fontId="1" numFmtId="0" xfId="0" applyAlignment="1" applyBorder="1" applyFill="1" applyFont="1">
      <alignment horizontal="center" shrinkToFit="0" vertical="center" wrapText="0"/>
    </xf>
    <xf borderId="50" fillId="51" fontId="1" numFmtId="0" xfId="0" applyAlignment="1" applyBorder="1" applyFill="1" applyFont="1">
      <alignment horizontal="center" shrinkToFit="0" vertical="center" wrapText="0"/>
    </xf>
    <xf borderId="10" fillId="51" fontId="1" numFmtId="0" xfId="0" applyAlignment="1" applyBorder="1" applyFont="1">
      <alignment horizontal="center" shrinkToFit="0" vertical="center" wrapText="0"/>
    </xf>
    <xf borderId="99" fillId="2" fontId="1" numFmtId="0" xfId="0" applyAlignment="1" applyBorder="1" applyFont="1">
      <alignment horizontal="center" shrinkToFit="0" vertical="center" wrapText="0"/>
    </xf>
    <xf borderId="10" fillId="12" fontId="1" numFmtId="172" xfId="0" applyAlignment="1" applyBorder="1" applyFont="1" applyNumberFormat="1">
      <alignment horizontal="center" shrinkToFit="0" vertical="center" wrapText="0"/>
    </xf>
    <xf borderId="96" fillId="0" fontId="4" numFmtId="0" xfId="0" applyAlignment="1" applyBorder="1" applyFont="1">
      <alignment horizontal="center" shrinkToFit="0" textRotation="90" vertical="center" wrapText="1"/>
    </xf>
    <xf borderId="4" fillId="2" fontId="1" numFmtId="0" xfId="0" applyAlignment="1" applyBorder="1" applyFont="1">
      <alignment horizontal="center" shrinkToFit="0" vertical="center" wrapText="1"/>
    </xf>
    <xf borderId="102" fillId="0" fontId="2" numFmtId="0" xfId="0" applyBorder="1" applyFont="1"/>
    <xf borderId="10" fillId="12" fontId="1" numFmtId="0" xfId="0" applyAlignment="1" applyBorder="1" applyFont="1">
      <alignment horizontal="center" shrinkToFit="0" vertical="bottom" wrapText="0"/>
    </xf>
    <xf borderId="10" fillId="12" fontId="1" numFmtId="172" xfId="0" applyAlignment="1" applyBorder="1" applyFont="1" applyNumberFormat="1">
      <alignment horizontal="center" shrinkToFit="0" vertical="bottom" wrapText="0"/>
    </xf>
    <xf borderId="10" fillId="44" fontId="1" numFmtId="0" xfId="0" applyAlignment="1" applyBorder="1" applyFont="1">
      <alignment horizontal="center" shrinkToFit="0" vertical="bottom" wrapText="0"/>
    </xf>
    <xf borderId="13" fillId="33" fontId="1" numFmtId="0" xfId="0" applyAlignment="1" applyBorder="1" applyFont="1">
      <alignment horizontal="center" shrinkToFit="0" vertical="center" wrapText="0"/>
    </xf>
    <xf borderId="10" fillId="16" fontId="1" numFmtId="0" xfId="0" applyAlignment="1" applyBorder="1" applyFont="1">
      <alignment horizontal="center" shrinkToFit="0" vertical="center" wrapText="0"/>
    </xf>
    <xf borderId="10" fillId="16" fontId="1" numFmtId="172" xfId="0" applyAlignment="1" applyBorder="1" applyFont="1" applyNumberFormat="1">
      <alignment horizontal="center" shrinkToFit="0" vertical="center" wrapText="0"/>
    </xf>
    <xf borderId="0" fillId="0" fontId="1" numFmtId="171" xfId="0" applyAlignment="1" applyFont="1" applyNumberFormat="1">
      <alignment horizontal="center" shrinkToFit="0" vertical="center" wrapText="0"/>
    </xf>
    <xf borderId="4" fillId="13" fontId="1" numFmtId="0" xfId="0" applyAlignment="1" applyBorder="1" applyFont="1">
      <alignment horizontal="center" shrinkToFit="0" vertical="center" wrapText="0"/>
    </xf>
    <xf borderId="10" fillId="32" fontId="1" numFmtId="0" xfId="0" applyAlignment="1" applyBorder="1" applyFont="1">
      <alignment horizontal="center" shrinkToFit="0" vertical="center" wrapText="0"/>
    </xf>
    <xf borderId="10" fillId="14" fontId="1" numFmtId="0" xfId="0" applyAlignment="1" applyBorder="1" applyFont="1">
      <alignment horizontal="center" shrinkToFit="0" vertical="bottom" wrapText="0"/>
    </xf>
    <xf borderId="10" fillId="14" fontId="1" numFmtId="172" xfId="0" applyAlignment="1" applyBorder="1" applyFont="1" applyNumberFormat="1">
      <alignment horizontal="center" shrinkToFit="0" vertical="bottom" wrapText="0"/>
    </xf>
    <xf borderId="50" fillId="14" fontId="1" numFmtId="172" xfId="0" applyAlignment="1" applyBorder="1" applyFont="1" applyNumberFormat="1">
      <alignment horizontal="center" shrinkToFit="0" vertical="bottom" wrapText="0"/>
    </xf>
    <xf borderId="10" fillId="33" fontId="1" numFmtId="0" xfId="0" applyAlignment="1" applyBorder="1" applyFont="1">
      <alignment horizontal="center" shrinkToFit="0" vertical="bottom" wrapText="0"/>
    </xf>
    <xf borderId="10" fillId="48" fontId="1" numFmtId="0" xfId="0" applyAlignment="1" applyBorder="1" applyFont="1">
      <alignment horizontal="center" shrinkToFit="0" vertical="bottom" wrapText="0"/>
    </xf>
    <xf borderId="10" fillId="16" fontId="1" numFmtId="172" xfId="0" applyAlignment="1" applyBorder="1" applyFont="1" applyNumberFormat="1">
      <alignment horizontal="center" shrinkToFit="0" vertical="bottom" wrapText="0"/>
    </xf>
    <xf borderId="0" fillId="0" fontId="1" numFmtId="171" xfId="0" applyAlignment="1" applyFont="1" applyNumberFormat="1">
      <alignment horizontal="center" shrinkToFit="0" vertical="bottom" wrapText="0"/>
    </xf>
    <xf borderId="50" fillId="48" fontId="1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2438400</xdr:colOff>
      <xdr:row>29</xdr:row>
      <xdr:rowOff>66675</xdr:rowOff>
    </xdr:from>
    <xdr:ext cx="3952875" cy="1485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20.86"/>
    <col customWidth="1" min="3" max="3" width="14.14"/>
    <col customWidth="1" min="4" max="4" width="7.86"/>
    <col customWidth="1" min="5" max="5" width="11.71"/>
    <col customWidth="1" min="6" max="6" width="37.0"/>
    <col customWidth="1" min="7" max="7" width="28.0"/>
    <col customWidth="1" min="8" max="8" width="17.43"/>
    <col customWidth="1" min="9" max="9" width="37.0"/>
    <col customWidth="1" min="10" max="10" width="32.57"/>
    <col customWidth="1" min="11" max="11" width="8.71"/>
    <col customWidth="1" min="12" max="12" width="35.29"/>
    <col customWidth="1" min="13" max="13" width="37.0"/>
    <col customWidth="1" min="14" max="14" width="40.0"/>
    <col customWidth="1" min="15" max="19" width="8.43"/>
    <col customWidth="1" min="20" max="20" width="15.71"/>
    <col customWidth="1" min="21" max="26" width="37.0"/>
  </cols>
  <sheetData>
    <row r="1" ht="12.75" customHeight="1">
      <c r="A1" s="1" t="s">
        <v>0</v>
      </c>
      <c r="B1" s="2"/>
      <c r="C1" s="2"/>
      <c r="D1" s="2"/>
      <c r="E1" s="3"/>
      <c r="F1" s="4"/>
      <c r="G1" s="5" t="s">
        <v>1</v>
      </c>
      <c r="H1" s="3"/>
      <c r="I1" s="6"/>
      <c r="J1" s="5" t="s">
        <v>2</v>
      </c>
      <c r="K1" s="2"/>
      <c r="L1" s="3"/>
      <c r="M1" s="6"/>
      <c r="N1" s="7" t="s">
        <v>3</v>
      </c>
      <c r="O1" s="8"/>
      <c r="P1" s="8"/>
      <c r="Q1" s="8"/>
      <c r="R1" s="8"/>
      <c r="S1" s="9"/>
      <c r="T1" s="6"/>
      <c r="U1" s="6"/>
      <c r="V1" s="6"/>
      <c r="W1" s="6"/>
      <c r="X1" s="6"/>
      <c r="Y1" s="6"/>
      <c r="Z1" s="6"/>
    </row>
    <row r="2" ht="12.75" customHeight="1">
      <c r="A2" s="10"/>
      <c r="B2" s="11"/>
      <c r="C2" s="11"/>
      <c r="D2" s="11"/>
      <c r="E2" s="12"/>
      <c r="F2" s="4"/>
      <c r="G2" s="10"/>
      <c r="H2" s="12"/>
      <c r="I2" s="6"/>
      <c r="J2" s="10"/>
      <c r="K2" s="11"/>
      <c r="L2" s="12"/>
      <c r="M2" s="6"/>
      <c r="N2" s="13" t="s">
        <v>4</v>
      </c>
      <c r="O2" s="14">
        <f t="shared" ref="O2:S2" si="1">0.066-0.00378*O3+0.000173*POWER(O3,2)</f>
        <v>0.06773717</v>
      </c>
      <c r="P2" s="14">
        <f t="shared" si="1"/>
        <v>0.1083</v>
      </c>
      <c r="Q2" s="14">
        <f t="shared" si="1"/>
        <v>0.246225</v>
      </c>
      <c r="R2" s="14">
        <f t="shared" si="1"/>
        <v>0.462</v>
      </c>
      <c r="S2" s="14">
        <f t="shared" si="1"/>
        <v>1.1271</v>
      </c>
      <c r="T2" s="6"/>
      <c r="U2" s="6"/>
      <c r="V2" s="6"/>
      <c r="W2" s="6"/>
      <c r="X2" s="6"/>
      <c r="Y2" s="6"/>
      <c r="Z2" s="6"/>
    </row>
    <row r="3" ht="12.75" customHeight="1">
      <c r="A3" s="15" t="s">
        <v>5</v>
      </c>
      <c r="B3" s="16">
        <v>15.0</v>
      </c>
      <c r="C3" s="17" t="s">
        <v>6</v>
      </c>
      <c r="D3" s="9"/>
      <c r="E3" s="16" t="s">
        <v>7</v>
      </c>
      <c r="F3" s="6"/>
      <c r="G3" s="18" t="s">
        <v>8</v>
      </c>
      <c r="H3" s="18" t="s">
        <v>9</v>
      </c>
      <c r="I3" s="6"/>
      <c r="J3" s="19" t="s">
        <v>8</v>
      </c>
      <c r="K3" s="20" t="s">
        <v>10</v>
      </c>
      <c r="L3" s="18" t="s">
        <v>11</v>
      </c>
      <c r="M3" s="6"/>
      <c r="N3" s="13" t="s">
        <v>12</v>
      </c>
      <c r="O3" s="21">
        <f>A13</f>
        <v>22.3</v>
      </c>
      <c r="P3" s="21">
        <f>A14</f>
        <v>30</v>
      </c>
      <c r="Q3" s="21">
        <f>A15</f>
        <v>45</v>
      </c>
      <c r="R3" s="21">
        <f>A16</f>
        <v>60</v>
      </c>
      <c r="S3" s="21">
        <f>A17</f>
        <v>90</v>
      </c>
      <c r="T3" s="18" t="s">
        <v>8</v>
      </c>
      <c r="U3" s="6"/>
      <c r="V3" s="6"/>
      <c r="W3" s="6"/>
      <c r="X3" s="6"/>
      <c r="Y3" s="6"/>
      <c r="Z3" s="6"/>
    </row>
    <row r="4" ht="13.5" customHeight="1">
      <c r="A4" s="15" t="s">
        <v>13</v>
      </c>
      <c r="B4" s="16" t="s">
        <v>14</v>
      </c>
      <c r="C4" s="17" t="s">
        <v>15</v>
      </c>
      <c r="D4" s="9"/>
      <c r="E4" s="16" t="s">
        <v>16</v>
      </c>
      <c r="F4" s="6"/>
      <c r="G4" s="22">
        <v>50.0</v>
      </c>
      <c r="H4" s="23">
        <f t="shared" ref="H4:H29" si="3">(L4+$B$13*O4+$B$14*P4+Q4*$B$15+$B$16*R4+S4*$B$17)/$B$10</f>
        <v>34.59506936</v>
      </c>
      <c r="I4" s="6"/>
      <c r="J4" s="24">
        <v>50.0</v>
      </c>
      <c r="K4" s="25">
        <f t="shared" ref="K4:K29" si="4">POWER(2*LOG($E$8/(3710*J4)),-2)*1.3</f>
        <v>0.001846077466</v>
      </c>
      <c r="L4" s="23">
        <f t="shared" ref="L4:L29" si="5">8*K4*$E$10*POWER($B$8,2)/(PI()*PI()*9.81*POWER(J4/1000,5))</f>
        <v>34.59506936</v>
      </c>
      <c r="M4" s="6"/>
      <c r="N4" s="26" t="s">
        <v>17</v>
      </c>
      <c r="O4" s="23">
        <f t="shared" ref="O4:S4" si="2">8*O$2*POWER($B$8,2)/(9.81*PI()*PI()*POWER($J4/1000,4))</f>
        <v>1.813398669</v>
      </c>
      <c r="P4" s="27">
        <f t="shared" si="2"/>
        <v>2.899310318</v>
      </c>
      <c r="Q4" s="27">
        <f t="shared" si="2"/>
        <v>6.591714524</v>
      </c>
      <c r="R4" s="27">
        <f t="shared" si="2"/>
        <v>12.368249</v>
      </c>
      <c r="S4" s="27">
        <f t="shared" si="2"/>
        <v>30.17370876</v>
      </c>
      <c r="T4" s="28">
        <v>50.0</v>
      </c>
      <c r="U4" s="6"/>
      <c r="V4" s="6"/>
      <c r="W4" s="6"/>
      <c r="X4" s="6"/>
      <c r="Y4" s="6"/>
      <c r="Z4" s="6"/>
    </row>
    <row r="5" ht="12.75" customHeight="1">
      <c r="A5" s="6"/>
      <c r="B5" s="6"/>
      <c r="C5" s="6"/>
      <c r="D5" s="6"/>
      <c r="E5" s="6"/>
      <c r="F5" s="6"/>
      <c r="G5" s="22">
        <v>60.0</v>
      </c>
      <c r="H5" s="23">
        <f t="shared" si="3"/>
        <v>13.738519</v>
      </c>
      <c r="I5" s="6"/>
      <c r="J5" s="24">
        <v>60.0</v>
      </c>
      <c r="K5" s="25">
        <f t="shared" si="4"/>
        <v>0.00182423954</v>
      </c>
      <c r="L5" s="23">
        <f t="shared" si="5"/>
        <v>13.738519</v>
      </c>
      <c r="M5" s="6"/>
      <c r="N5" s="29"/>
      <c r="O5" s="23">
        <f t="shared" ref="O5:S5" si="6">8*O$2*POWER($B$8,2)/(9.81*PI()*PI()*POWER($J5/1000,4))</f>
        <v>0.8745171051</v>
      </c>
      <c r="P5" s="27">
        <f t="shared" si="6"/>
        <v>1.398201349</v>
      </c>
      <c r="Q5" s="27">
        <f t="shared" si="6"/>
        <v>3.178874674</v>
      </c>
      <c r="R5" s="27">
        <f t="shared" si="6"/>
        <v>5.964626254</v>
      </c>
      <c r="S5" s="27">
        <f t="shared" si="6"/>
        <v>14.55136418</v>
      </c>
      <c r="T5" s="24">
        <v>60.0</v>
      </c>
      <c r="U5" s="6"/>
      <c r="V5" s="6"/>
      <c r="W5" s="6"/>
      <c r="X5" s="6"/>
      <c r="Y5" s="6"/>
      <c r="Z5" s="6"/>
    </row>
    <row r="6" ht="12.75" customHeight="1">
      <c r="A6" s="30" t="s">
        <v>18</v>
      </c>
      <c r="B6" s="2"/>
      <c r="C6" s="2"/>
      <c r="D6" s="2"/>
      <c r="E6" s="3"/>
      <c r="F6" s="4"/>
      <c r="G6" s="22">
        <v>70.0</v>
      </c>
      <c r="H6" s="23">
        <f t="shared" si="3"/>
        <v>6.293037268</v>
      </c>
      <c r="I6" s="6"/>
      <c r="J6" s="24">
        <v>70.0</v>
      </c>
      <c r="K6" s="25">
        <f t="shared" si="4"/>
        <v>0.001806076732</v>
      </c>
      <c r="L6" s="23">
        <f t="shared" si="5"/>
        <v>6.293037268</v>
      </c>
      <c r="M6" s="6"/>
      <c r="N6" s="29"/>
      <c r="O6" s="23">
        <f t="shared" ref="O6:S6" si="7">8*O$2*POWER($B$8,2)/(9.81*PI()*PI()*POWER($J6/1000,4))</f>
        <v>0.4720425524</v>
      </c>
      <c r="P6" s="27">
        <f t="shared" si="7"/>
        <v>0.7547142643</v>
      </c>
      <c r="Q6" s="27">
        <f t="shared" si="7"/>
        <v>1.715877375</v>
      </c>
      <c r="R6" s="27">
        <f t="shared" si="7"/>
        <v>3.219556695</v>
      </c>
      <c r="S6" s="27">
        <f t="shared" si="7"/>
        <v>7.854463964</v>
      </c>
      <c r="T6" s="24">
        <v>70.0</v>
      </c>
      <c r="U6" s="6"/>
      <c r="V6" s="6"/>
      <c r="W6" s="6"/>
      <c r="X6" s="6"/>
      <c r="Y6" s="6"/>
      <c r="Z6" s="6"/>
    </row>
    <row r="7" ht="12.75" customHeight="1">
      <c r="A7" s="10"/>
      <c r="B7" s="11"/>
      <c r="C7" s="11"/>
      <c r="D7" s="11"/>
      <c r="E7" s="12"/>
      <c r="F7" s="4"/>
      <c r="G7" s="22">
        <v>80.0</v>
      </c>
      <c r="H7" s="23">
        <f t="shared" si="3"/>
        <v>3.20002724</v>
      </c>
      <c r="I7" s="6"/>
      <c r="J7" s="24">
        <v>80.0</v>
      </c>
      <c r="K7" s="25">
        <f t="shared" si="4"/>
        <v>0.001790561755</v>
      </c>
      <c r="L7" s="23">
        <f t="shared" si="5"/>
        <v>3.20002724</v>
      </c>
      <c r="M7" s="6"/>
      <c r="N7" s="29"/>
      <c r="O7" s="23">
        <f t="shared" ref="O7:S7" si="8">8*O$2*POWER($B$8,2)/(9.81*PI()*PI()*POWER($J7/1000,4))</f>
        <v>0.2767026778</v>
      </c>
      <c r="P7" s="27">
        <f t="shared" si="8"/>
        <v>0.4423996456</v>
      </c>
      <c r="Q7" s="27">
        <f t="shared" si="8"/>
        <v>1.005815815</v>
      </c>
      <c r="R7" s="27">
        <f t="shared" si="8"/>
        <v>1.887245026</v>
      </c>
      <c r="S7" s="27">
        <f t="shared" si="8"/>
        <v>4.604142573</v>
      </c>
      <c r="T7" s="24">
        <v>80.0</v>
      </c>
      <c r="U7" s="6"/>
      <c r="V7" s="6"/>
      <c r="W7" s="6"/>
      <c r="X7" s="6"/>
      <c r="Y7" s="6"/>
      <c r="Z7" s="6"/>
    </row>
    <row r="8" ht="12.75" customHeight="1">
      <c r="A8" s="31" t="s">
        <v>19</v>
      </c>
      <c r="B8" s="32">
        <v>0.045</v>
      </c>
      <c r="C8" s="6"/>
      <c r="D8" s="31" t="s">
        <v>20</v>
      </c>
      <c r="E8" s="32">
        <v>1.0E-8</v>
      </c>
      <c r="F8" s="6"/>
      <c r="G8" s="22">
        <v>90.0</v>
      </c>
      <c r="H8" s="23">
        <f t="shared" si="3"/>
        <v>1.762379497</v>
      </c>
      <c r="I8" s="6"/>
      <c r="J8" s="24">
        <v>90.0</v>
      </c>
      <c r="K8" s="25">
        <f t="shared" si="4"/>
        <v>0.00177704192</v>
      </c>
      <c r="L8" s="23">
        <f t="shared" si="5"/>
        <v>1.762379497</v>
      </c>
      <c r="M8" s="6"/>
      <c r="N8" s="29"/>
      <c r="O8" s="23">
        <f t="shared" ref="O8:S8" si="9">8*O$2*POWER($B$8,2)/(9.81*PI()*PI()*POWER($J8/1000,4))</f>
        <v>0.1727441195</v>
      </c>
      <c r="P8" s="27">
        <f t="shared" si="9"/>
        <v>0.2761879208</v>
      </c>
      <c r="Q8" s="27">
        <f t="shared" si="9"/>
        <v>0.6279258616</v>
      </c>
      <c r="R8" s="27">
        <f t="shared" si="9"/>
        <v>1.178197779</v>
      </c>
      <c r="S8" s="27">
        <f t="shared" si="9"/>
        <v>2.874343542</v>
      </c>
      <c r="T8" s="24">
        <v>90.0</v>
      </c>
      <c r="U8" s="6"/>
      <c r="V8" s="6"/>
      <c r="W8" s="6"/>
      <c r="X8" s="6"/>
      <c r="Y8" s="6"/>
      <c r="Z8" s="6"/>
    </row>
    <row r="9" ht="12.75" customHeight="1">
      <c r="A9" s="31" t="s">
        <v>21</v>
      </c>
      <c r="B9" s="32">
        <v>9.45</v>
      </c>
      <c r="C9" s="6"/>
      <c r="D9" s="31" t="s">
        <v>22</v>
      </c>
      <c r="E9" s="33">
        <v>500.0</v>
      </c>
      <c r="F9" s="6"/>
      <c r="G9" s="22">
        <v>100.0</v>
      </c>
      <c r="H9" s="23">
        <f t="shared" si="3"/>
        <v>1.033660802</v>
      </c>
      <c r="I9" s="6"/>
      <c r="J9" s="24">
        <v>100.0</v>
      </c>
      <c r="K9" s="25">
        <f t="shared" si="4"/>
        <v>0.001765077348</v>
      </c>
      <c r="L9" s="23">
        <f t="shared" si="5"/>
        <v>1.033660802</v>
      </c>
      <c r="M9" s="6"/>
      <c r="N9" s="29"/>
      <c r="O9" s="23">
        <f t="shared" ref="O9:S9" si="10">8*O$2*POWER($B$8,2)/(9.81*PI()*PI()*POWER($J9/1000,4))</f>
        <v>0.1133374168</v>
      </c>
      <c r="P9" s="27">
        <f t="shared" si="10"/>
        <v>0.1812068949</v>
      </c>
      <c r="Q9" s="27">
        <f t="shared" si="10"/>
        <v>0.4119821578</v>
      </c>
      <c r="R9" s="27">
        <f t="shared" si="10"/>
        <v>0.7730155625</v>
      </c>
      <c r="S9" s="27">
        <f t="shared" si="10"/>
        <v>1.885856798</v>
      </c>
      <c r="T9" s="24">
        <v>100.0</v>
      </c>
      <c r="U9" s="6"/>
      <c r="V9" s="6"/>
      <c r="W9" s="6"/>
      <c r="X9" s="6"/>
      <c r="Y9" s="6"/>
      <c r="Z9" s="6"/>
    </row>
    <row r="10" ht="12.75" customHeight="1">
      <c r="A10" s="34" t="s">
        <v>23</v>
      </c>
      <c r="B10" s="35">
        <v>1.0</v>
      </c>
      <c r="C10" s="6"/>
      <c r="D10" s="31" t="s">
        <v>24</v>
      </c>
      <c r="E10" s="32">
        <v>35.0</v>
      </c>
      <c r="F10" s="6"/>
      <c r="G10" s="22">
        <v>110.0</v>
      </c>
      <c r="H10" s="23">
        <f t="shared" si="3"/>
        <v>0.6379241862</v>
      </c>
      <c r="I10" s="6"/>
      <c r="J10" s="24">
        <v>110.0</v>
      </c>
      <c r="K10" s="25">
        <f t="shared" si="4"/>
        <v>0.001754357864</v>
      </c>
      <c r="L10" s="23">
        <f t="shared" si="5"/>
        <v>0.6379241862</v>
      </c>
      <c r="M10" s="6"/>
      <c r="N10" s="29"/>
      <c r="O10" s="23">
        <f t="shared" ref="O10:S10" si="11">8*O$2*POWER($B$8,2)/(9.81*PI()*PI()*POWER($J10/1000,4))</f>
        <v>0.07741098069</v>
      </c>
      <c r="P10" s="27">
        <f t="shared" si="11"/>
        <v>0.1237667474</v>
      </c>
      <c r="Q10" s="27">
        <f t="shared" si="11"/>
        <v>0.2813893571</v>
      </c>
      <c r="R10" s="27">
        <f t="shared" si="11"/>
        <v>0.5279800304</v>
      </c>
      <c r="S10" s="27">
        <f t="shared" si="11"/>
        <v>1.288065568</v>
      </c>
      <c r="T10" s="24">
        <v>110.0</v>
      </c>
      <c r="U10" s="6"/>
      <c r="V10" s="6"/>
      <c r="W10" s="6"/>
      <c r="X10" s="6"/>
      <c r="Y10" s="6"/>
      <c r="Z10" s="6"/>
    </row>
    <row r="11" ht="12.75" customHeight="1">
      <c r="A11" s="6"/>
      <c r="B11" s="6"/>
      <c r="C11" s="6"/>
      <c r="D11" s="36"/>
      <c r="E11" s="36"/>
      <c r="F11" s="6"/>
      <c r="G11" s="22">
        <v>120.0</v>
      </c>
      <c r="H11" s="23">
        <f t="shared" si="3"/>
        <v>0.4105991808</v>
      </c>
      <c r="I11" s="6"/>
      <c r="J11" s="24">
        <v>120.0</v>
      </c>
      <c r="K11" s="25">
        <f t="shared" si="4"/>
        <v>0.001744656781</v>
      </c>
      <c r="L11" s="23">
        <f t="shared" si="5"/>
        <v>0.4105991808</v>
      </c>
      <c r="M11" s="6"/>
      <c r="N11" s="29"/>
      <c r="O11" s="23">
        <f t="shared" ref="O11:S11" si="12">8*O$2*POWER($B$8,2)/(9.81*PI()*PI()*POWER($J11/1000,4))</f>
        <v>0.05465731907</v>
      </c>
      <c r="P11" s="27">
        <f t="shared" si="12"/>
        <v>0.08738758432</v>
      </c>
      <c r="Q11" s="27">
        <f t="shared" si="12"/>
        <v>0.1986796671</v>
      </c>
      <c r="R11" s="27">
        <f t="shared" si="12"/>
        <v>0.3727891409</v>
      </c>
      <c r="S11" s="27">
        <f t="shared" si="12"/>
        <v>0.9094602612</v>
      </c>
      <c r="T11" s="24">
        <v>120.0</v>
      </c>
      <c r="U11" s="6"/>
      <c r="V11" s="6"/>
      <c r="W11" s="6"/>
      <c r="X11" s="6"/>
      <c r="Y11" s="6"/>
      <c r="Z11" s="6"/>
    </row>
    <row r="12" ht="12.75" customHeight="1">
      <c r="A12" s="31" t="s">
        <v>25</v>
      </c>
      <c r="B12" s="37" t="s">
        <v>26</v>
      </c>
      <c r="C12" s="38"/>
      <c r="D12" s="6"/>
      <c r="E12" s="39"/>
      <c r="F12" s="39"/>
      <c r="G12" s="22">
        <v>130.0</v>
      </c>
      <c r="H12" s="23">
        <f t="shared" si="3"/>
        <v>0.2737777262</v>
      </c>
      <c r="I12" s="6"/>
      <c r="J12" s="24">
        <v>130.0</v>
      </c>
      <c r="K12" s="25">
        <f t="shared" si="4"/>
        <v>0.001735803532</v>
      </c>
      <c r="L12" s="23">
        <f t="shared" si="5"/>
        <v>0.2737777262</v>
      </c>
      <c r="M12" s="6"/>
      <c r="N12" s="29"/>
      <c r="O12" s="23">
        <f t="shared" ref="O12:S12" si="13">8*O$2*POWER($B$8,2)/(9.81*PI()*PI()*POWER($J12/1000,4))</f>
        <v>0.03968258003</v>
      </c>
      <c r="P12" s="27">
        <f t="shared" si="13"/>
        <v>0.06344557083</v>
      </c>
      <c r="Q12" s="27">
        <f t="shared" si="13"/>
        <v>0.1442464052</v>
      </c>
      <c r="R12" s="27">
        <f t="shared" si="13"/>
        <v>0.2706542357</v>
      </c>
      <c r="S12" s="27">
        <f t="shared" si="13"/>
        <v>0.6602908854</v>
      </c>
      <c r="T12" s="24">
        <v>130.0</v>
      </c>
      <c r="U12" s="6"/>
      <c r="V12" s="6"/>
      <c r="W12" s="6"/>
      <c r="X12" s="6"/>
      <c r="Y12" s="6"/>
      <c r="Z12" s="6"/>
    </row>
    <row r="13" ht="12.75" customHeight="1">
      <c r="A13" s="40">
        <v>22.3</v>
      </c>
      <c r="B13" s="41">
        <v>0.0</v>
      </c>
      <c r="C13" s="38"/>
      <c r="D13" s="39"/>
      <c r="E13" s="39"/>
      <c r="F13" s="39"/>
      <c r="G13" s="22">
        <v>140.0</v>
      </c>
      <c r="H13" s="23">
        <f t="shared" si="3"/>
        <v>0.188119613</v>
      </c>
      <c r="I13" s="6"/>
      <c r="J13" s="24">
        <v>140.0</v>
      </c>
      <c r="K13" s="25">
        <f t="shared" si="4"/>
        <v>0.001727666646</v>
      </c>
      <c r="L13" s="23">
        <f t="shared" si="5"/>
        <v>0.188119613</v>
      </c>
      <c r="M13" s="6"/>
      <c r="N13" s="29"/>
      <c r="O13" s="23">
        <f t="shared" ref="O13:S13" si="14">8*O$2*POWER($B$8,2)/(9.81*PI()*PI()*POWER($J13/1000,4))</f>
        <v>0.02950265952</v>
      </c>
      <c r="P13" s="27">
        <f t="shared" si="14"/>
        <v>0.04716964152</v>
      </c>
      <c r="Q13" s="27">
        <f t="shared" si="14"/>
        <v>0.1072423359</v>
      </c>
      <c r="R13" s="27">
        <f t="shared" si="14"/>
        <v>0.2012222935</v>
      </c>
      <c r="S13" s="27">
        <f t="shared" si="14"/>
        <v>0.4909039977</v>
      </c>
      <c r="T13" s="24">
        <v>140.0</v>
      </c>
      <c r="U13" s="6"/>
      <c r="V13" s="6"/>
      <c r="W13" s="6"/>
      <c r="X13" s="6"/>
      <c r="Y13" s="6"/>
      <c r="Z13" s="6"/>
    </row>
    <row r="14" ht="12.75" customHeight="1">
      <c r="A14" s="40">
        <v>30.0</v>
      </c>
      <c r="B14" s="41">
        <v>0.0</v>
      </c>
      <c r="C14" s="38"/>
      <c r="D14" s="39"/>
      <c r="E14" s="39"/>
      <c r="F14" s="39"/>
      <c r="G14" s="22">
        <v>150.0</v>
      </c>
      <c r="H14" s="23">
        <f t="shared" si="3"/>
        <v>0.1326546532</v>
      </c>
      <c r="I14" s="6"/>
      <c r="J14" s="24">
        <v>150.0</v>
      </c>
      <c r="K14" s="25">
        <f t="shared" si="4"/>
        <v>0.001720142704</v>
      </c>
      <c r="L14" s="23">
        <f t="shared" si="5"/>
        <v>0.1326546532</v>
      </c>
      <c r="M14" s="6"/>
      <c r="N14" s="29"/>
      <c r="O14" s="23">
        <f t="shared" ref="O14:S14" si="15">8*O$2*POWER($B$8,2)/(9.81*PI()*PI()*POWER($J14/1000,4))</f>
        <v>0.02238763789</v>
      </c>
      <c r="P14" s="27">
        <f t="shared" si="15"/>
        <v>0.03579395454</v>
      </c>
      <c r="Q14" s="27">
        <f t="shared" si="15"/>
        <v>0.08137919166</v>
      </c>
      <c r="R14" s="27">
        <f t="shared" si="15"/>
        <v>0.1526944321</v>
      </c>
      <c r="S14" s="27">
        <f t="shared" si="15"/>
        <v>0.372514923</v>
      </c>
      <c r="T14" s="24">
        <v>150.0</v>
      </c>
      <c r="U14" s="6"/>
      <c r="V14" s="6"/>
      <c r="W14" s="6"/>
      <c r="X14" s="6"/>
      <c r="Y14" s="6"/>
      <c r="Z14" s="6"/>
    </row>
    <row r="15" ht="12.75" customHeight="1">
      <c r="A15" s="40">
        <v>45.0</v>
      </c>
      <c r="B15" s="42">
        <v>0.0</v>
      </c>
      <c r="C15" s="43"/>
      <c r="D15" s="39"/>
      <c r="E15" s="39"/>
      <c r="F15" s="39"/>
      <c r="G15" s="22">
        <v>160.0</v>
      </c>
      <c r="H15" s="23">
        <f t="shared" si="3"/>
        <v>0.09567743245</v>
      </c>
      <c r="I15" s="6"/>
      <c r="J15" s="24">
        <v>160.0</v>
      </c>
      <c r="K15" s="25">
        <f t="shared" si="4"/>
        <v>0.00171314893</v>
      </c>
      <c r="L15" s="23">
        <f t="shared" si="5"/>
        <v>0.09567743245</v>
      </c>
      <c r="M15" s="6"/>
      <c r="N15" s="29"/>
      <c r="O15" s="23">
        <f t="shared" ref="O15:S15" si="16">8*O$2*POWER($B$8,2)/(9.81*PI()*PI()*POWER($J15/1000,4))</f>
        <v>0.01729391736</v>
      </c>
      <c r="P15" s="27">
        <f t="shared" si="16"/>
        <v>0.02764997785</v>
      </c>
      <c r="Q15" s="27">
        <f t="shared" si="16"/>
        <v>0.06286348843</v>
      </c>
      <c r="R15" s="27">
        <f t="shared" si="16"/>
        <v>0.1179528141</v>
      </c>
      <c r="S15" s="27">
        <f t="shared" si="16"/>
        <v>0.2877589108</v>
      </c>
      <c r="T15" s="24">
        <v>160.0</v>
      </c>
      <c r="U15" s="6"/>
      <c r="V15" s="6"/>
      <c r="W15" s="6"/>
      <c r="X15" s="6"/>
      <c r="Y15" s="6"/>
      <c r="Z15" s="6"/>
    </row>
    <row r="16" ht="12.75" customHeight="1">
      <c r="A16" s="40">
        <v>60.0</v>
      </c>
      <c r="B16" s="42">
        <v>0.0</v>
      </c>
      <c r="C16" s="43"/>
      <c r="D16" s="39"/>
      <c r="E16" s="44"/>
      <c r="F16" s="44"/>
      <c r="G16" s="22">
        <v>170.0</v>
      </c>
      <c r="H16" s="23">
        <f t="shared" si="3"/>
        <v>0.07038920152</v>
      </c>
      <c r="I16" s="6"/>
      <c r="J16" s="24">
        <v>170.0</v>
      </c>
      <c r="K16" s="25">
        <f t="shared" si="4"/>
        <v>0.001706618069</v>
      </c>
      <c r="L16" s="23">
        <f t="shared" si="5"/>
        <v>0.07038920152</v>
      </c>
      <c r="M16" s="6"/>
      <c r="N16" s="29"/>
      <c r="O16" s="23">
        <f t="shared" ref="O16:S16" si="17">8*O$2*POWER($B$8,2)/(9.81*PI()*PI()*POWER($J16/1000,4))</f>
        <v>0.01356993054</v>
      </c>
      <c r="P16" s="27">
        <f t="shared" si="17"/>
        <v>0.02169596806</v>
      </c>
      <c r="Q16" s="27">
        <f t="shared" si="17"/>
        <v>0.04932677503</v>
      </c>
      <c r="R16" s="27">
        <f t="shared" si="17"/>
        <v>0.09255343716</v>
      </c>
      <c r="S16" s="27">
        <f t="shared" si="17"/>
        <v>0.2257943269</v>
      </c>
      <c r="T16" s="24">
        <v>170.0</v>
      </c>
      <c r="U16" s="6"/>
      <c r="V16" s="6"/>
      <c r="W16" s="6"/>
      <c r="X16" s="6"/>
      <c r="Y16" s="6"/>
      <c r="Z16" s="6"/>
    </row>
    <row r="17" ht="12.75" customHeight="1">
      <c r="A17" s="40">
        <v>90.0</v>
      </c>
      <c r="B17" s="41">
        <v>0.0</v>
      </c>
      <c r="C17" s="38"/>
      <c r="D17" s="39"/>
      <c r="E17" s="39"/>
      <c r="F17" s="39"/>
      <c r="G17" s="22">
        <v>180.0</v>
      </c>
      <c r="H17" s="23">
        <f t="shared" si="3"/>
        <v>0.05270199759</v>
      </c>
      <c r="I17" s="6"/>
      <c r="J17" s="24">
        <v>180.0</v>
      </c>
      <c r="K17" s="25">
        <f t="shared" si="4"/>
        <v>0.001700494753</v>
      </c>
      <c r="L17" s="23">
        <f t="shared" si="5"/>
        <v>0.05270199759</v>
      </c>
      <c r="M17" s="6"/>
      <c r="N17" s="29"/>
      <c r="O17" s="23">
        <f t="shared" ref="O17:S17" si="18">8*O$2*POWER($B$8,2)/(9.81*PI()*PI()*POWER($J17/1000,4))</f>
        <v>0.01079650747</v>
      </c>
      <c r="P17" s="27">
        <f t="shared" si="18"/>
        <v>0.01726174505</v>
      </c>
      <c r="Q17" s="27">
        <f t="shared" si="18"/>
        <v>0.03924536635</v>
      </c>
      <c r="R17" s="27">
        <f t="shared" si="18"/>
        <v>0.07363736116</v>
      </c>
      <c r="S17" s="27">
        <f t="shared" si="18"/>
        <v>0.1796464714</v>
      </c>
      <c r="T17" s="24">
        <v>180.0</v>
      </c>
      <c r="U17" s="6"/>
      <c r="V17" s="6"/>
      <c r="W17" s="6"/>
      <c r="X17" s="6"/>
      <c r="Y17" s="6"/>
      <c r="Z17" s="6"/>
    </row>
    <row r="18" ht="12.75" customHeight="1">
      <c r="A18" s="39"/>
      <c r="B18" s="39"/>
      <c r="C18" s="39"/>
      <c r="D18" s="39"/>
      <c r="E18" s="39"/>
      <c r="F18" s="39"/>
      <c r="G18" s="22">
        <v>190.0</v>
      </c>
      <c r="H18" s="23">
        <f t="shared" si="3"/>
        <v>0.04008183121</v>
      </c>
      <c r="I18" s="45"/>
      <c r="J18" s="46">
        <v>190.0</v>
      </c>
      <c r="K18" s="25">
        <f t="shared" si="4"/>
        <v>0.001694732872</v>
      </c>
      <c r="L18" s="23">
        <f t="shared" si="5"/>
        <v>0.04008183121</v>
      </c>
      <c r="M18" s="6"/>
      <c r="N18" s="29"/>
      <c r="O18" s="23">
        <f t="shared" ref="O18:S18" si="19">8*O$2*POWER($B$8,2)/(9.81*PI()*PI()*POWER($J18/1000,4))</f>
        <v>0.008696788455</v>
      </c>
      <c r="P18" s="27">
        <f t="shared" si="19"/>
        <v>0.0139046581</v>
      </c>
      <c r="Q18" s="27">
        <f t="shared" si="19"/>
        <v>0.03161287573</v>
      </c>
      <c r="R18" s="27">
        <f t="shared" si="19"/>
        <v>0.05931627002</v>
      </c>
      <c r="S18" s="27">
        <f t="shared" si="19"/>
        <v>0.1447085886</v>
      </c>
      <c r="T18" s="46">
        <v>190.0</v>
      </c>
      <c r="U18" s="6"/>
      <c r="V18" s="6"/>
      <c r="W18" s="6"/>
      <c r="X18" s="6"/>
      <c r="Y18" s="6"/>
      <c r="Z18" s="6"/>
    </row>
    <row r="19" ht="12.75" customHeight="1">
      <c r="A19" s="47" t="s">
        <v>27</v>
      </c>
      <c r="B19" s="2"/>
      <c r="C19" s="2"/>
      <c r="D19" s="2"/>
      <c r="E19" s="3"/>
      <c r="F19" s="4"/>
      <c r="G19" s="22">
        <v>200.0</v>
      </c>
      <c r="H19" s="23">
        <f t="shared" si="3"/>
        <v>0.03091501582</v>
      </c>
      <c r="I19" s="6"/>
      <c r="J19" s="24">
        <v>200.0</v>
      </c>
      <c r="K19" s="25">
        <f t="shared" si="4"/>
        <v>0.001689293633</v>
      </c>
      <c r="L19" s="23">
        <f t="shared" si="5"/>
        <v>0.03091501582</v>
      </c>
      <c r="M19" s="6"/>
      <c r="N19" s="29"/>
      <c r="O19" s="23">
        <f t="shared" ref="O19:S19" si="20">8*O$2*POWER($B$8,2)/(9.81*PI()*PI()*POWER($J19/1000,4))</f>
        <v>0.007083588551</v>
      </c>
      <c r="P19" s="27">
        <f t="shared" si="20"/>
        <v>0.01132543093</v>
      </c>
      <c r="Q19" s="27">
        <f t="shared" si="20"/>
        <v>0.02574888486</v>
      </c>
      <c r="R19" s="27">
        <f t="shared" si="20"/>
        <v>0.04831347266</v>
      </c>
      <c r="S19" s="27">
        <f t="shared" si="20"/>
        <v>0.1178660499</v>
      </c>
      <c r="T19" s="24">
        <v>200.0</v>
      </c>
      <c r="U19" s="6"/>
      <c r="V19" s="6"/>
      <c r="W19" s="6"/>
      <c r="X19" s="6"/>
      <c r="Y19" s="6"/>
      <c r="Z19" s="6"/>
    </row>
    <row r="20" ht="12.75" customHeight="1">
      <c r="A20" s="10"/>
      <c r="B20" s="11"/>
      <c r="C20" s="11"/>
      <c r="D20" s="11"/>
      <c r="E20" s="12"/>
      <c r="F20" s="4"/>
      <c r="G20" s="22">
        <v>210.0</v>
      </c>
      <c r="H20" s="23">
        <f t="shared" si="3"/>
        <v>0.02414888477</v>
      </c>
      <c r="I20" s="6"/>
      <c r="J20" s="24">
        <v>210.0</v>
      </c>
      <c r="K20" s="25">
        <f t="shared" si="4"/>
        <v>0.001684144094</v>
      </c>
      <c r="L20" s="23">
        <f t="shared" si="5"/>
        <v>0.02414888477</v>
      </c>
      <c r="M20" s="6"/>
      <c r="N20" s="29"/>
      <c r="O20" s="23">
        <f t="shared" ref="O20:S20" si="21">8*O$2*POWER($B$8,2)/(9.81*PI()*PI()*POWER($J20/1000,4))</f>
        <v>0.005827685832</v>
      </c>
      <c r="P20" s="27">
        <f t="shared" si="21"/>
        <v>0.009317460053</v>
      </c>
      <c r="Q20" s="27">
        <f t="shared" si="21"/>
        <v>0.0211836713</v>
      </c>
      <c r="R20" s="27">
        <f t="shared" si="21"/>
        <v>0.03974761352</v>
      </c>
      <c r="S20" s="27">
        <f t="shared" si="21"/>
        <v>0.09696869091</v>
      </c>
      <c r="T20" s="24">
        <v>210.0</v>
      </c>
      <c r="U20" s="6"/>
      <c r="V20" s="6"/>
      <c r="W20" s="6"/>
      <c r="X20" s="6"/>
      <c r="Y20" s="6"/>
      <c r="Z20" s="6"/>
    </row>
    <row r="21" ht="12.75" customHeight="1">
      <c r="A21" s="48" t="s">
        <v>28</v>
      </c>
      <c r="B21" s="8"/>
      <c r="C21" s="8"/>
      <c r="D21" s="9"/>
      <c r="E21" s="49">
        <f>B9*0.05</f>
        <v>0.4725</v>
      </c>
      <c r="F21" s="6"/>
      <c r="G21" s="22">
        <v>220.0</v>
      </c>
      <c r="H21" s="23">
        <f t="shared" si="3"/>
        <v>0.01908173345</v>
      </c>
      <c r="I21" s="6"/>
      <c r="J21" s="24">
        <v>220.0</v>
      </c>
      <c r="K21" s="25">
        <f t="shared" si="4"/>
        <v>0.001679256055</v>
      </c>
      <c r="L21" s="23">
        <f t="shared" si="5"/>
        <v>0.01908173345</v>
      </c>
      <c r="M21" s="6"/>
      <c r="N21" s="29"/>
      <c r="O21" s="23">
        <f t="shared" ref="O21:S21" si="22">8*O$2*POWER($B$8,2)/(9.81*PI()*PI()*POWER($J21/1000,4))</f>
        <v>0.004838186293</v>
      </c>
      <c r="P21" s="27">
        <f t="shared" si="22"/>
        <v>0.007735421712</v>
      </c>
      <c r="Q21" s="27">
        <f t="shared" si="22"/>
        <v>0.01758683482</v>
      </c>
      <c r="R21" s="27">
        <f t="shared" si="22"/>
        <v>0.0329987519</v>
      </c>
      <c r="S21" s="27">
        <f t="shared" si="22"/>
        <v>0.08050409798</v>
      </c>
      <c r="T21" s="24">
        <v>220.0</v>
      </c>
      <c r="U21" s="6"/>
      <c r="V21" s="6"/>
      <c r="W21" s="6"/>
      <c r="X21" s="6"/>
      <c r="Y21" s="6"/>
      <c r="Z21" s="6"/>
    </row>
    <row r="22" ht="12.75" customHeight="1">
      <c r="A22" s="6"/>
      <c r="B22" s="6"/>
      <c r="C22" s="6"/>
      <c r="D22" s="6"/>
      <c r="E22" s="6"/>
      <c r="F22" s="6"/>
      <c r="G22" s="22">
        <v>230.0</v>
      </c>
      <c r="H22" s="23">
        <f t="shared" si="3"/>
        <v>0.01523658219</v>
      </c>
      <c r="I22" s="6"/>
      <c r="J22" s="24">
        <v>230.0</v>
      </c>
      <c r="K22" s="25">
        <f t="shared" si="4"/>
        <v>0.00167460519</v>
      </c>
      <c r="L22" s="23">
        <f t="shared" si="5"/>
        <v>0.01523658219</v>
      </c>
      <c r="M22" s="6"/>
      <c r="N22" s="29"/>
      <c r="O22" s="23">
        <f t="shared" ref="O22:S22" si="23">8*O$2*POWER($B$8,2)/(9.81*PI()*PI()*POWER($J22/1000,4))</f>
        <v>0.004050064745</v>
      </c>
      <c r="P22" s="27">
        <f t="shared" si="23"/>
        <v>0.006475351891</v>
      </c>
      <c r="Q22" s="27">
        <f t="shared" si="23"/>
        <v>0.01472200849</v>
      </c>
      <c r="R22" s="27">
        <f t="shared" si="23"/>
        <v>0.0276233848</v>
      </c>
      <c r="S22" s="27">
        <f t="shared" si="23"/>
        <v>0.06739029655</v>
      </c>
      <c r="T22" s="24">
        <v>230.0</v>
      </c>
      <c r="U22" s="6"/>
      <c r="V22" s="6"/>
      <c r="W22" s="6"/>
      <c r="X22" s="6"/>
      <c r="Y22" s="6"/>
      <c r="Z22" s="6"/>
    </row>
    <row r="23" ht="12.75" customHeight="1">
      <c r="A23" s="50" t="s">
        <v>29</v>
      </c>
      <c r="B23" s="51"/>
      <c r="C23" s="51"/>
      <c r="D23" s="52"/>
      <c r="E23" s="53">
        <v>120.0</v>
      </c>
      <c r="F23" s="6"/>
      <c r="G23" s="22">
        <v>240.0</v>
      </c>
      <c r="H23" s="23">
        <f t="shared" si="3"/>
        <v>0.0122834079</v>
      </c>
      <c r="I23" s="6"/>
      <c r="J23" s="24">
        <v>240.0</v>
      </c>
      <c r="K23" s="25">
        <f t="shared" si="4"/>
        <v>0.001670170377</v>
      </c>
      <c r="L23" s="23">
        <f t="shared" si="5"/>
        <v>0.0122834079</v>
      </c>
      <c r="M23" s="6"/>
      <c r="N23" s="29"/>
      <c r="O23" s="23">
        <f t="shared" ref="O23:S23" si="24">8*O$2*POWER($B$8,2)/(9.81*PI()*PI()*POWER($J23/1000,4))</f>
        <v>0.003416082442</v>
      </c>
      <c r="P23" s="27">
        <f t="shared" si="24"/>
        <v>0.00546172402</v>
      </c>
      <c r="Q23" s="27">
        <f t="shared" si="24"/>
        <v>0.0124174792</v>
      </c>
      <c r="R23" s="27">
        <f t="shared" si="24"/>
        <v>0.02329932131</v>
      </c>
      <c r="S23" s="27">
        <f t="shared" si="24"/>
        <v>0.05684126633</v>
      </c>
      <c r="T23" s="24">
        <v>240.0</v>
      </c>
      <c r="U23" s="6"/>
      <c r="V23" s="6"/>
      <c r="W23" s="6"/>
      <c r="X23" s="6"/>
      <c r="Y23" s="6"/>
      <c r="Z23" s="6"/>
    </row>
    <row r="24" ht="12.75" customHeight="1">
      <c r="A24" s="50" t="s">
        <v>30</v>
      </c>
      <c r="B24" s="51"/>
      <c r="C24" s="51"/>
      <c r="D24" s="52"/>
      <c r="E24" s="54">
        <v>3.0</v>
      </c>
      <c r="F24" s="6"/>
      <c r="G24" s="22">
        <v>250.0</v>
      </c>
      <c r="H24" s="23">
        <f t="shared" si="3"/>
        <v>0.009990146007</v>
      </c>
      <c r="I24" s="6"/>
      <c r="J24" s="24">
        <v>250.0</v>
      </c>
      <c r="K24" s="25">
        <f t="shared" si="4"/>
        <v>0.00166593316</v>
      </c>
      <c r="L24" s="23">
        <f t="shared" si="5"/>
        <v>0.009990146007</v>
      </c>
      <c r="M24" s="6"/>
      <c r="N24" s="29"/>
      <c r="O24" s="23">
        <f t="shared" ref="O24:S24" si="25">8*O$2*POWER($B$8,2)/(9.81*PI()*PI()*POWER($J24/1000,4))</f>
        <v>0.002901437871</v>
      </c>
      <c r="P24" s="27">
        <f t="shared" si="25"/>
        <v>0.004638896508</v>
      </c>
      <c r="Q24" s="27">
        <f t="shared" si="25"/>
        <v>0.01054674324</v>
      </c>
      <c r="R24" s="27">
        <f t="shared" si="25"/>
        <v>0.0197891984</v>
      </c>
      <c r="S24" s="27">
        <f t="shared" si="25"/>
        <v>0.04827793402</v>
      </c>
      <c r="T24" s="24">
        <v>250.0</v>
      </c>
      <c r="U24" s="6"/>
      <c r="V24" s="6"/>
      <c r="W24" s="6"/>
      <c r="X24" s="6"/>
      <c r="Y24" s="6"/>
      <c r="Z24" s="6"/>
    </row>
    <row r="25" ht="12.75" customHeight="1">
      <c r="A25" s="55"/>
      <c r="B25" s="55"/>
      <c r="C25" s="55"/>
      <c r="D25" s="55"/>
      <c r="E25" s="55"/>
      <c r="F25" s="6"/>
      <c r="G25" s="22">
        <v>260.0</v>
      </c>
      <c r="H25" s="23">
        <f t="shared" si="3"/>
        <v>0.008191181096</v>
      </c>
      <c r="I25" s="6"/>
      <c r="J25" s="24">
        <v>260.0</v>
      </c>
      <c r="K25" s="25">
        <f t="shared" si="4"/>
        <v>0.001661877322</v>
      </c>
      <c r="L25" s="23">
        <f t="shared" si="5"/>
        <v>0.008191181096</v>
      </c>
      <c r="M25" s="6"/>
      <c r="N25" s="29"/>
      <c r="O25" s="23">
        <f t="shared" ref="O25:S25" si="26">8*O$2*POWER($B$8,2)/(9.81*PI()*PI()*POWER($J25/1000,4))</f>
        <v>0.002480161252</v>
      </c>
      <c r="P25" s="27">
        <f t="shared" si="26"/>
        <v>0.003965348177</v>
      </c>
      <c r="Q25" s="27">
        <f t="shared" si="26"/>
        <v>0.009015400322</v>
      </c>
      <c r="R25" s="27">
        <f t="shared" si="26"/>
        <v>0.01691588973</v>
      </c>
      <c r="S25" s="27">
        <f t="shared" si="26"/>
        <v>0.04126818034</v>
      </c>
      <c r="T25" s="24">
        <v>260.0</v>
      </c>
      <c r="U25" s="6"/>
      <c r="V25" s="6"/>
      <c r="W25" s="6"/>
      <c r="X25" s="6"/>
      <c r="Y25" s="6"/>
      <c r="Z25" s="6"/>
    </row>
    <row r="26" ht="12.75" customHeight="1">
      <c r="A26" s="56" t="s">
        <v>31</v>
      </c>
      <c r="B26" s="8"/>
      <c r="C26" s="8"/>
      <c r="D26" s="9"/>
      <c r="E26" s="57">
        <f>8*POWER(2*LOG($E$8/(3710*E23)),-2)*1.3*$E$10*POWER($B$8,2)/(PI()*PI()*9.81*POWER(E23/1000,5))+8*R$2*POWER($B$8,2)/(9.81*PI()*PI()*POWER(E23/1000,4))*B16+8*O$2*POWER($B$8,2)/(9.81*PI()*PI()*POWER(E23/1000,4))*B13+8*P$2*POWER($B$8,2)/(9.81*PI()*PI()*POWER(E23/1000,4))*B14+8*Q$2*POWER($B$8,2)/(9.81*PI()*PI()*POWER(E23/1000,4))*B15+8*S$2*POWER($B$8,2)/(9.81*PI()*PI()*POWER(E23/1000,4))*B17</f>
        <v>0.4105991808</v>
      </c>
      <c r="F26" s="58"/>
      <c r="G26" s="22">
        <v>270.0</v>
      </c>
      <c r="H26" s="23">
        <f t="shared" si="3"/>
        <v>0.006766701352</v>
      </c>
      <c r="I26" s="6"/>
      <c r="J26" s="24">
        <v>270.0</v>
      </c>
      <c r="K26" s="25">
        <f t="shared" si="4"/>
        <v>0.001657988539</v>
      </c>
      <c r="L26" s="23">
        <f t="shared" si="5"/>
        <v>0.006766701352</v>
      </c>
      <c r="M26" s="6"/>
      <c r="N26" s="29"/>
      <c r="O26" s="23">
        <f t="shared" ref="O26:S26" si="27">8*O$2*POWER($B$8,2)/(9.81*PI()*PI()*POWER($J26/1000,4))</f>
        <v>0.002132643451</v>
      </c>
      <c r="P26" s="27">
        <f t="shared" si="27"/>
        <v>0.003409727418</v>
      </c>
      <c r="Q26" s="27">
        <f t="shared" si="27"/>
        <v>0.00775217113</v>
      </c>
      <c r="R26" s="27">
        <f t="shared" si="27"/>
        <v>0.01454565159</v>
      </c>
      <c r="S26" s="27">
        <f t="shared" si="27"/>
        <v>0.03548572274</v>
      </c>
      <c r="T26" s="24">
        <v>270.0</v>
      </c>
      <c r="U26" s="6"/>
      <c r="V26" s="6"/>
      <c r="W26" s="6"/>
      <c r="X26" s="6"/>
      <c r="Y26" s="6"/>
      <c r="Z26" s="6"/>
    </row>
    <row r="27" ht="12.75" customHeight="1">
      <c r="A27" s="56" t="s">
        <v>32</v>
      </c>
      <c r="B27" s="8"/>
      <c r="C27" s="8"/>
      <c r="D27" s="9"/>
      <c r="E27" s="57">
        <f>(B9-E26)*B8*9.81</f>
        <v>3.990443492</v>
      </c>
      <c r="F27" s="58"/>
      <c r="G27" s="22">
        <v>280.0</v>
      </c>
      <c r="H27" s="23">
        <f t="shared" si="3"/>
        <v>0.005628936745</v>
      </c>
      <c r="I27" s="6"/>
      <c r="J27" s="24">
        <v>280.0</v>
      </c>
      <c r="K27" s="25">
        <f t="shared" si="4"/>
        <v>0.001654254097</v>
      </c>
      <c r="L27" s="23">
        <f t="shared" si="5"/>
        <v>0.005628936745</v>
      </c>
      <c r="M27" s="6"/>
      <c r="N27" s="29"/>
      <c r="O27" s="23">
        <f t="shared" ref="O27:S27" si="28">8*O$2*POWER($B$8,2)/(9.81*PI()*PI()*POWER($J27/1000,4))</f>
        <v>0.00184391622</v>
      </c>
      <c r="P27" s="27">
        <f t="shared" si="28"/>
        <v>0.002948102595</v>
      </c>
      <c r="Q27" s="27">
        <f t="shared" si="28"/>
        <v>0.006702645997</v>
      </c>
      <c r="R27" s="27">
        <f t="shared" si="28"/>
        <v>0.01257639334</v>
      </c>
      <c r="S27" s="27">
        <f t="shared" si="28"/>
        <v>0.03068149986</v>
      </c>
      <c r="T27" s="24">
        <v>280.0</v>
      </c>
      <c r="U27" s="6"/>
      <c r="V27" s="6"/>
      <c r="W27" s="6"/>
      <c r="X27" s="6"/>
      <c r="Y27" s="6"/>
      <c r="Z27" s="6"/>
    </row>
    <row r="28" ht="12.75" customHeight="1">
      <c r="A28" s="56" t="s">
        <v>33</v>
      </c>
      <c r="B28" s="8"/>
      <c r="C28" s="8"/>
      <c r="D28" s="9"/>
      <c r="E28" s="57">
        <f>E27/4</f>
        <v>0.9976108729</v>
      </c>
      <c r="F28" s="58"/>
      <c r="G28" s="22">
        <v>290.0</v>
      </c>
      <c r="H28" s="23">
        <f t="shared" si="3"/>
        <v>0.004712839446</v>
      </c>
      <c r="I28" s="6"/>
      <c r="J28" s="24">
        <v>290.0</v>
      </c>
      <c r="K28" s="25">
        <f t="shared" si="4"/>
        <v>0.001650662664</v>
      </c>
      <c r="L28" s="23">
        <f t="shared" si="5"/>
        <v>0.004712839446</v>
      </c>
      <c r="M28" s="6"/>
      <c r="N28" s="29"/>
      <c r="O28" s="23">
        <f t="shared" ref="O28:S28" si="29">8*O$2*POWER($B$8,2)/(9.81*PI()*PI()*POWER($J28/1000,4))</f>
        <v>0.001602438307</v>
      </c>
      <c r="P28" s="27">
        <f t="shared" si="29"/>
        <v>0.002562021246</v>
      </c>
      <c r="Q28" s="27">
        <f t="shared" si="29"/>
        <v>0.005824872402</v>
      </c>
      <c r="R28" s="27">
        <f t="shared" si="29"/>
        <v>0.01092939811</v>
      </c>
      <c r="S28" s="27">
        <f t="shared" si="29"/>
        <v>0.02666347318</v>
      </c>
      <c r="T28" s="24">
        <v>290.0</v>
      </c>
      <c r="U28" s="6"/>
      <c r="V28" s="6"/>
      <c r="W28" s="6"/>
      <c r="X28" s="6"/>
      <c r="Y28" s="6"/>
      <c r="Z28" s="6"/>
    </row>
    <row r="29" ht="12.75" customHeight="1">
      <c r="A29" s="47" t="s">
        <v>34</v>
      </c>
      <c r="B29" s="2"/>
      <c r="C29" s="2"/>
      <c r="D29" s="2"/>
      <c r="E29" s="3"/>
      <c r="F29" s="4"/>
      <c r="G29" s="22">
        <v>300.0</v>
      </c>
      <c r="H29" s="23">
        <f t="shared" si="3"/>
        <v>0.003969679508</v>
      </c>
      <c r="I29" s="6"/>
      <c r="J29" s="24">
        <v>300.0</v>
      </c>
      <c r="K29" s="25">
        <f t="shared" si="4"/>
        <v>0.001647204094</v>
      </c>
      <c r="L29" s="23">
        <f t="shared" si="5"/>
        <v>0.003969679508</v>
      </c>
      <c r="M29" s="6"/>
      <c r="N29" s="59"/>
      <c r="O29" s="23">
        <f t="shared" ref="O29:S29" si="30">8*O$2*POWER($B$8,2)/(9.81*PI()*PI()*POWER($J29/1000,4))</f>
        <v>0.001399227368</v>
      </c>
      <c r="P29" s="27">
        <f t="shared" si="30"/>
        <v>0.002237122159</v>
      </c>
      <c r="Q29" s="27">
        <f t="shared" si="30"/>
        <v>0.005086199479</v>
      </c>
      <c r="R29" s="27">
        <f t="shared" si="30"/>
        <v>0.009543402007</v>
      </c>
      <c r="S29" s="27">
        <f t="shared" si="30"/>
        <v>0.02328218269</v>
      </c>
      <c r="T29" s="24">
        <v>300.0</v>
      </c>
      <c r="U29" s="6"/>
      <c r="V29" s="6"/>
      <c r="W29" s="6"/>
      <c r="X29" s="6"/>
      <c r="Y29" s="6"/>
      <c r="Z29" s="6"/>
    </row>
    <row r="30" ht="12.75" customHeight="1">
      <c r="A30" s="10"/>
      <c r="B30" s="11"/>
      <c r="C30" s="11"/>
      <c r="D30" s="11"/>
      <c r="E30" s="12"/>
      <c r="F30" s="4"/>
      <c r="G30" s="6"/>
      <c r="H30" s="6"/>
      <c r="I30" s="6"/>
      <c r="J30" s="6"/>
      <c r="K30" s="6"/>
      <c r="L30" s="6"/>
      <c r="M30" s="6"/>
      <c r="N30" s="60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61" t="s">
        <v>35</v>
      </c>
      <c r="B32" s="8"/>
      <c r="C32" s="8"/>
      <c r="D32" s="9"/>
      <c r="E32" s="62">
        <f>B8/(PI()*E23*0.001*E23*0.001)*4</f>
        <v>3.978873577</v>
      </c>
      <c r="F32" s="5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61" t="s">
        <v>36</v>
      </c>
      <c r="B34" s="8"/>
      <c r="C34" s="8"/>
      <c r="D34" s="9"/>
      <c r="E34" s="63">
        <f>4*B8*E10/(9.81*PI()*POWER(E23/1000,2))</f>
        <v>14.19577729</v>
      </c>
      <c r="F34" s="64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61" t="s">
        <v>37</v>
      </c>
      <c r="B35" s="8"/>
      <c r="C35" s="8"/>
      <c r="D35" s="9"/>
      <c r="E35" s="63">
        <f>E34 + B9</f>
        <v>23.64577729</v>
      </c>
      <c r="F35" s="6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65" t="s">
        <v>38</v>
      </c>
      <c r="B37" s="2"/>
      <c r="C37" s="2"/>
      <c r="D37" s="3"/>
      <c r="E37" s="66">
        <f>E35*9.81*1000*E23/(2*E24*1000000)</f>
        <v>4.639301504</v>
      </c>
      <c r="F37" s="6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10"/>
      <c r="B38" s="11"/>
      <c r="C38" s="11"/>
      <c r="D38" s="12"/>
      <c r="E38" s="68"/>
      <c r="F38" s="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9" t="s">
        <v>39</v>
      </c>
      <c r="B39" s="8"/>
      <c r="C39" s="8"/>
      <c r="D39" s="8"/>
      <c r="E39" s="9"/>
      <c r="F39" s="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70" t="s">
        <v>5</v>
      </c>
      <c r="B40" s="71">
        <v>3500.0</v>
      </c>
      <c r="C40" s="72" t="s">
        <v>40</v>
      </c>
      <c r="D40" s="9"/>
      <c r="E40" s="71">
        <v>210000.0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70" t="s">
        <v>41</v>
      </c>
      <c r="B41" s="71">
        <v>83000.0</v>
      </c>
      <c r="C41" s="72" t="s">
        <v>42</v>
      </c>
      <c r="D41" s="9"/>
      <c r="E41" s="71">
        <v>203000.0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69" t="s">
        <v>43</v>
      </c>
      <c r="B42" s="8"/>
      <c r="C42" s="8"/>
      <c r="D42" s="8"/>
      <c r="E42" s="9"/>
      <c r="F42" s="4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70" t="s">
        <v>5</v>
      </c>
      <c r="B43" s="71">
        <v>35.0</v>
      </c>
      <c r="C43" s="72" t="s">
        <v>40</v>
      </c>
      <c r="D43" s="9"/>
      <c r="E43" s="71">
        <v>200.0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70" t="s">
        <v>41</v>
      </c>
      <c r="B44" s="71">
        <v>200.0</v>
      </c>
      <c r="C44" s="72" t="s">
        <v>42</v>
      </c>
      <c r="D44" s="9"/>
      <c r="E44" s="71">
        <v>200.0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7">
    <mergeCell ref="A6:E7"/>
    <mergeCell ref="A19:E20"/>
    <mergeCell ref="A21:D21"/>
    <mergeCell ref="A23:D23"/>
    <mergeCell ref="A24:D24"/>
    <mergeCell ref="A26:D26"/>
    <mergeCell ref="A1:E2"/>
    <mergeCell ref="G1:H2"/>
    <mergeCell ref="J1:L2"/>
    <mergeCell ref="N1:S1"/>
    <mergeCell ref="C3:D3"/>
    <mergeCell ref="C4:D4"/>
    <mergeCell ref="N4:N29"/>
    <mergeCell ref="A37:D38"/>
    <mergeCell ref="A39:E39"/>
    <mergeCell ref="C40:D40"/>
    <mergeCell ref="C41:D41"/>
    <mergeCell ref="A42:E42"/>
    <mergeCell ref="C43:D43"/>
    <mergeCell ref="C44:D44"/>
    <mergeCell ref="A27:D27"/>
    <mergeCell ref="A28:D28"/>
    <mergeCell ref="A29:E30"/>
    <mergeCell ref="A32:D32"/>
    <mergeCell ref="A34:D34"/>
    <mergeCell ref="A35:D35"/>
    <mergeCell ref="E37:E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0.86"/>
    <col customWidth="1" min="3" max="3" width="7.29"/>
    <col customWidth="1" min="4" max="4" width="6.71"/>
    <col customWidth="1" min="5" max="5" width="9.14"/>
    <col customWidth="1" min="6" max="6" width="13.0"/>
    <col customWidth="1" min="7" max="7" width="40.71"/>
    <col customWidth="1" min="8" max="8" width="5.0"/>
    <col customWidth="1" min="9" max="9" width="5.86"/>
    <col customWidth="1" min="10" max="10" width="8.0"/>
    <col customWidth="1" min="11" max="14" width="11.57"/>
    <col customWidth="1" min="15" max="26" width="8.71"/>
  </cols>
  <sheetData>
    <row r="1" ht="13.5" customHeight="1">
      <c r="A1" s="73"/>
      <c r="B1" s="74" t="s">
        <v>44</v>
      </c>
      <c r="C1" s="73"/>
      <c r="D1" s="73"/>
      <c r="E1" s="73"/>
      <c r="F1" s="75"/>
      <c r="G1" s="74" t="s">
        <v>45</v>
      </c>
      <c r="H1" s="73"/>
      <c r="I1" s="73"/>
      <c r="J1" s="73"/>
      <c r="K1" s="6"/>
      <c r="L1" s="6"/>
      <c r="M1" s="6"/>
      <c r="N1" s="7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3.5" customHeight="1">
      <c r="A2" s="73"/>
      <c r="B2" s="74"/>
      <c r="C2" s="73"/>
      <c r="D2" s="73"/>
      <c r="E2" s="73"/>
      <c r="F2" s="77"/>
      <c r="G2" s="73"/>
      <c r="H2" s="73"/>
      <c r="I2" s="73"/>
      <c r="J2" s="78"/>
      <c r="K2" s="6"/>
      <c r="L2" s="6"/>
      <c r="M2" s="6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3.5" customHeight="1">
      <c r="A3" s="73"/>
      <c r="B3" s="79" t="s">
        <v>46</v>
      </c>
      <c r="C3" s="80" t="s">
        <v>47</v>
      </c>
      <c r="D3" s="81"/>
      <c r="E3" s="82">
        <v>400.0</v>
      </c>
      <c r="F3" s="77"/>
      <c r="G3" s="83" t="s">
        <v>48</v>
      </c>
      <c r="H3" s="84" t="s">
        <v>49</v>
      </c>
      <c r="I3" s="85" t="s">
        <v>50</v>
      </c>
      <c r="J3" s="86">
        <f>SQRT(2*E8*E5*E11)</f>
        <v>13.31739629</v>
      </c>
      <c r="K3" s="6"/>
      <c r="L3" s="6"/>
      <c r="M3" s="6"/>
      <c r="N3" s="7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5" customHeight="1">
      <c r="A4" s="73"/>
      <c r="B4" s="87"/>
      <c r="C4" s="88" t="s">
        <v>51</v>
      </c>
      <c r="D4" s="9"/>
      <c r="E4" s="89">
        <f>E3*2*PI()/60</f>
        <v>41.88790205</v>
      </c>
      <c r="F4" s="77"/>
      <c r="G4" s="90" t="s">
        <v>52</v>
      </c>
      <c r="H4" s="91" t="s">
        <v>49</v>
      </c>
      <c r="I4" s="92" t="s">
        <v>53</v>
      </c>
      <c r="J4" s="93">
        <f>0.5*J3*COS(E9*PI()/180)</f>
        <v>6.367744707</v>
      </c>
      <c r="K4" s="6"/>
      <c r="L4" s="6"/>
      <c r="M4" s="6"/>
      <c r="N4" s="7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5" customHeight="1">
      <c r="A5" s="73"/>
      <c r="B5" s="90" t="s">
        <v>54</v>
      </c>
      <c r="C5" s="91" t="s">
        <v>55</v>
      </c>
      <c r="D5" s="94" t="s">
        <v>56</v>
      </c>
      <c r="E5" s="95">
        <f>'Dimensionnement CONDUITE FORCEE'!B9</f>
        <v>9.45</v>
      </c>
      <c r="F5" s="77"/>
      <c r="G5" s="90" t="s">
        <v>57</v>
      </c>
      <c r="H5" s="91" t="s">
        <v>49</v>
      </c>
      <c r="I5" s="92" t="s">
        <v>58</v>
      </c>
      <c r="J5" s="86">
        <f>J4/COS(J6*PI()/180)</f>
        <v>7.463814448</v>
      </c>
      <c r="K5" s="6"/>
      <c r="L5" s="6"/>
      <c r="M5" s="6"/>
      <c r="N5" s="7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3.5" customHeight="1">
      <c r="A6" s="73"/>
      <c r="B6" s="90" t="s">
        <v>59</v>
      </c>
      <c r="C6" s="91" t="s">
        <v>55</v>
      </c>
      <c r="D6" s="94" t="s">
        <v>60</v>
      </c>
      <c r="E6" s="95">
        <f>'Dimensionnement CONDUITE FORCEE'!B9-'Dimensionnement CONDUITE FORCEE'!E26</f>
        <v>9.039400819</v>
      </c>
      <c r="F6" s="77"/>
      <c r="G6" s="90" t="s">
        <v>61</v>
      </c>
      <c r="H6" s="91" t="s">
        <v>62</v>
      </c>
      <c r="I6" s="92" t="s">
        <v>63</v>
      </c>
      <c r="J6" s="86">
        <f>(ATAN(2*TAN(E9*PI()/180)))*180/PI()</f>
        <v>31.44417461</v>
      </c>
      <c r="K6" s="6"/>
      <c r="L6" s="6"/>
      <c r="M6" s="6"/>
      <c r="N6" s="7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3.5" customHeight="1">
      <c r="A7" s="73"/>
      <c r="B7" s="90" t="s">
        <v>64</v>
      </c>
      <c r="C7" s="91" t="s">
        <v>65</v>
      </c>
      <c r="D7" s="94" t="s">
        <v>66</v>
      </c>
      <c r="E7" s="96">
        <f>'Dimensionnement CONDUITE FORCEE'!B8</f>
        <v>0.045</v>
      </c>
      <c r="F7" s="77"/>
      <c r="G7" s="90" t="s">
        <v>67</v>
      </c>
      <c r="H7" s="91" t="s">
        <v>55</v>
      </c>
      <c r="I7" s="92" t="s">
        <v>68</v>
      </c>
      <c r="J7" s="97">
        <f>E7/(J3*E34)</f>
        <v>0.04220607899</v>
      </c>
      <c r="K7" s="6"/>
      <c r="L7" s="6"/>
      <c r="M7" s="6"/>
      <c r="N7" s="7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customHeight="1">
      <c r="A8" s="73"/>
      <c r="B8" s="90" t="s">
        <v>69</v>
      </c>
      <c r="C8" s="91" t="s">
        <v>70</v>
      </c>
      <c r="D8" s="94" t="s">
        <v>71</v>
      </c>
      <c r="E8" s="96">
        <v>9.81</v>
      </c>
      <c r="F8" s="77"/>
      <c r="G8" s="90" t="s">
        <v>72</v>
      </c>
      <c r="H8" s="91" t="s">
        <v>55</v>
      </c>
      <c r="I8" s="92" t="s">
        <v>73</v>
      </c>
      <c r="J8" s="97">
        <f>(E27*E13)</f>
        <v>0.02513928033</v>
      </c>
      <c r="K8" s="6"/>
      <c r="L8" s="6"/>
      <c r="M8" s="6"/>
      <c r="N8" s="7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customHeight="1">
      <c r="A9" s="73"/>
      <c r="B9" s="90" t="s">
        <v>74</v>
      </c>
      <c r="C9" s="91" t="s">
        <v>62</v>
      </c>
      <c r="D9" s="94" t="s">
        <v>75</v>
      </c>
      <c r="E9" s="98">
        <v>17.0</v>
      </c>
      <c r="F9" s="77"/>
      <c r="G9" s="99" t="s">
        <v>76</v>
      </c>
      <c r="H9" s="100" t="s">
        <v>62</v>
      </c>
      <c r="I9" s="101" t="s">
        <v>77</v>
      </c>
      <c r="J9" s="102">
        <f>E30*2</f>
        <v>107</v>
      </c>
      <c r="K9" s="73"/>
      <c r="L9" s="6"/>
      <c r="M9" s="6"/>
      <c r="N9" s="7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73"/>
      <c r="B10" s="90" t="s">
        <v>78</v>
      </c>
      <c r="C10" s="91" t="s">
        <v>62</v>
      </c>
      <c r="D10" s="94" t="s">
        <v>79</v>
      </c>
      <c r="E10" s="103">
        <v>87.5</v>
      </c>
      <c r="F10" s="77"/>
      <c r="G10" s="90" t="s">
        <v>80</v>
      </c>
      <c r="H10" s="91" t="s">
        <v>49</v>
      </c>
      <c r="I10" s="92" t="s">
        <v>81</v>
      </c>
      <c r="J10" s="104">
        <f>SQRT(J11*J11+J12*J12-(2*J11*J12*COS(E10*PI()/180)))</f>
        <v>8.122422394</v>
      </c>
      <c r="K10" s="73"/>
      <c r="L10" s="6"/>
      <c r="M10" s="6"/>
      <c r="N10" s="7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73"/>
      <c r="B11" s="90" t="s">
        <v>82</v>
      </c>
      <c r="C11" s="91"/>
      <c r="D11" s="94" t="s">
        <v>83</v>
      </c>
      <c r="E11" s="95">
        <f>E6/E5</f>
        <v>0.9565503512</v>
      </c>
      <c r="F11" s="77"/>
      <c r="G11" s="90" t="s">
        <v>84</v>
      </c>
      <c r="H11" s="91" t="s">
        <v>49</v>
      </c>
      <c r="I11" s="92" t="s">
        <v>85</v>
      </c>
      <c r="J11" s="104">
        <f>(E28/2)*(PI()*E20/30)</f>
        <v>4.283261512</v>
      </c>
      <c r="K11" s="73"/>
      <c r="L11" s="6"/>
      <c r="M11" s="6"/>
      <c r="N11" s="7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73"/>
      <c r="B12" s="90" t="s">
        <v>86</v>
      </c>
      <c r="C12" s="91"/>
      <c r="D12" s="94" t="s">
        <v>87</v>
      </c>
      <c r="E12" s="96">
        <v>0.95</v>
      </c>
      <c r="F12" s="77" t="s">
        <v>88</v>
      </c>
      <c r="G12" s="105" t="s">
        <v>89</v>
      </c>
      <c r="H12" s="106" t="s">
        <v>49</v>
      </c>
      <c r="I12" s="107" t="s">
        <v>90</v>
      </c>
      <c r="J12" s="104">
        <f>J5*E12</f>
        <v>7.090623726</v>
      </c>
      <c r="K12" s="73"/>
      <c r="L12" s="6"/>
      <c r="M12" s="6"/>
      <c r="N12" s="7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73"/>
      <c r="B13" s="90" t="s">
        <v>91</v>
      </c>
      <c r="C13" s="91"/>
      <c r="D13" s="94" t="s">
        <v>4</v>
      </c>
      <c r="E13" s="108">
        <v>0.085</v>
      </c>
      <c r="F13" s="77"/>
      <c r="G13" s="73"/>
      <c r="H13" s="73"/>
      <c r="I13" s="73"/>
      <c r="J13" s="73"/>
      <c r="K13" s="73"/>
      <c r="L13" s="6"/>
      <c r="M13" s="6"/>
      <c r="N13" s="7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73"/>
      <c r="B14" s="90" t="s">
        <v>92</v>
      </c>
      <c r="C14" s="91" t="s">
        <v>55</v>
      </c>
      <c r="D14" s="94" t="s">
        <v>93</v>
      </c>
      <c r="E14" s="108">
        <v>0.0035</v>
      </c>
      <c r="F14" s="77"/>
      <c r="G14" s="73"/>
      <c r="H14" s="73"/>
      <c r="I14" s="73"/>
      <c r="J14" s="73"/>
      <c r="K14" s="73"/>
      <c r="L14" s="6"/>
      <c r="M14" s="6"/>
      <c r="N14" s="7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5" customHeight="1">
      <c r="A15" s="73"/>
      <c r="B15" s="105" t="s">
        <v>94</v>
      </c>
      <c r="C15" s="106" t="s">
        <v>62</v>
      </c>
      <c r="D15" s="109" t="s">
        <v>95</v>
      </c>
      <c r="E15" s="110">
        <f>'Dimensionnement INJECTEUR'!E5</f>
        <v>60</v>
      </c>
      <c r="F15" s="77"/>
      <c r="G15" s="73"/>
      <c r="H15" s="73"/>
      <c r="I15" s="73"/>
      <c r="J15" s="73"/>
      <c r="K15" s="73"/>
      <c r="L15" s="6"/>
      <c r="M15" s="6"/>
      <c r="N15" s="7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5" customHeight="1">
      <c r="A16" s="73"/>
      <c r="B16" s="73"/>
      <c r="C16" s="73"/>
      <c r="D16" s="73"/>
      <c r="E16" s="73"/>
      <c r="F16" s="77"/>
      <c r="G16" s="73"/>
      <c r="H16" s="73"/>
      <c r="I16" s="73"/>
      <c r="J16" s="73"/>
      <c r="K16" s="73"/>
      <c r="L16" s="6"/>
      <c r="M16" s="6"/>
      <c r="N16" s="7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5" customHeight="1">
      <c r="A17" s="73"/>
      <c r="B17" s="74" t="s">
        <v>96</v>
      </c>
      <c r="C17" s="73"/>
      <c r="D17" s="73"/>
      <c r="E17" s="73"/>
      <c r="F17" s="77"/>
      <c r="G17" s="111" t="s">
        <v>97</v>
      </c>
      <c r="H17" s="73"/>
      <c r="I17" s="73"/>
      <c r="J17" s="73"/>
      <c r="K17" s="73"/>
      <c r="L17" s="6"/>
      <c r="M17" s="6"/>
      <c r="N17" s="7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5" customHeight="1">
      <c r="A18" s="73"/>
      <c r="B18" s="74"/>
      <c r="C18" s="73"/>
      <c r="D18" s="73"/>
      <c r="E18" s="112" t="s">
        <v>98</v>
      </c>
      <c r="F18" s="77"/>
      <c r="G18" s="73"/>
      <c r="H18" s="73"/>
      <c r="I18" s="73"/>
      <c r="J18" s="73"/>
      <c r="K18" s="6"/>
      <c r="L18" s="6"/>
      <c r="M18" s="6"/>
      <c r="N18" s="7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73"/>
      <c r="B19" s="83" t="s">
        <v>99</v>
      </c>
      <c r="C19" s="84"/>
      <c r="D19" s="113" t="s">
        <v>100</v>
      </c>
      <c r="E19" s="114">
        <f>0.5*E11*E11*(1+E12)*COS(E9*PI()/180)*COS(E9*PI()/180)</f>
        <v>0.8158548845</v>
      </c>
      <c r="F19" s="77"/>
      <c r="G19" s="115" t="s">
        <v>46</v>
      </c>
      <c r="H19" s="116" t="s">
        <v>101</v>
      </c>
      <c r="I19" s="81"/>
      <c r="J19" s="117">
        <f>E20</f>
        <v>411.2</v>
      </c>
      <c r="K19" s="6"/>
      <c r="L19" s="6"/>
      <c r="M19" s="6"/>
      <c r="N19" s="7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.5" customHeight="1">
      <c r="A20" s="73"/>
      <c r="B20" s="90" t="s">
        <v>102</v>
      </c>
      <c r="C20" s="91" t="s">
        <v>103</v>
      </c>
      <c r="D20" s="94" t="s">
        <v>104</v>
      </c>
      <c r="E20" s="118">
        <f>(60*J4)/(PI()*E27)</f>
        <v>411.2</v>
      </c>
      <c r="F20" s="77"/>
      <c r="G20" s="119" t="s">
        <v>105</v>
      </c>
      <c r="H20" s="120" t="s">
        <v>106</v>
      </c>
      <c r="I20" s="121" t="s">
        <v>107</v>
      </c>
      <c r="J20" s="122">
        <f t="shared" ref="J20:J21" si="1">E27*100</f>
        <v>29.57562392</v>
      </c>
      <c r="K20" s="6"/>
      <c r="L20" s="6"/>
      <c r="M20" s="6"/>
      <c r="N20" s="7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customHeight="1">
      <c r="A21" s="73"/>
      <c r="B21" s="90" t="s">
        <v>108</v>
      </c>
      <c r="C21" s="91" t="s">
        <v>65</v>
      </c>
      <c r="D21" s="94" t="s">
        <v>66</v>
      </c>
      <c r="E21" s="123">
        <f>E34*(E27*E11*SQRT(2*E8*E5)*(E15*PI()/180)*SIN(E9*PI()/180))/2</f>
        <v>0.04721275045</v>
      </c>
      <c r="F21" s="77"/>
      <c r="G21" s="119" t="s">
        <v>109</v>
      </c>
      <c r="H21" s="120" t="s">
        <v>106</v>
      </c>
      <c r="I21" s="121" t="s">
        <v>110</v>
      </c>
      <c r="J21" s="122">
        <f t="shared" si="1"/>
        <v>19.89403431</v>
      </c>
      <c r="K21" s="6"/>
      <c r="L21" s="6"/>
      <c r="M21" s="6"/>
      <c r="N21" s="7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5" customHeight="1">
      <c r="A22" s="73"/>
      <c r="B22" s="90" t="s">
        <v>111</v>
      </c>
      <c r="C22" s="91" t="s">
        <v>112</v>
      </c>
      <c r="D22" s="94" t="s">
        <v>113</v>
      </c>
      <c r="E22" s="118">
        <f>E5*E21*E8</f>
        <v>4.376834424</v>
      </c>
      <c r="F22" s="77"/>
      <c r="G22" s="119" t="s">
        <v>74</v>
      </c>
      <c r="H22" s="120" t="s">
        <v>62</v>
      </c>
      <c r="I22" s="121" t="s">
        <v>75</v>
      </c>
      <c r="J22" s="124">
        <f t="shared" ref="J22:J23" si="2">E9</f>
        <v>17</v>
      </c>
      <c r="K22" s="6"/>
      <c r="L22" s="6"/>
      <c r="M22" s="6"/>
      <c r="N22" s="7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73"/>
      <c r="B23" s="105" t="s">
        <v>114</v>
      </c>
      <c r="C23" s="106" t="s">
        <v>112</v>
      </c>
      <c r="D23" s="109" t="s">
        <v>115</v>
      </c>
      <c r="E23" s="125">
        <f>E22*E19</f>
        <v>3.570861744</v>
      </c>
      <c r="F23" s="77"/>
      <c r="G23" s="119" t="s">
        <v>116</v>
      </c>
      <c r="H23" s="120" t="s">
        <v>62</v>
      </c>
      <c r="I23" s="121" t="s">
        <v>79</v>
      </c>
      <c r="J23" s="124">
        <f t="shared" si="2"/>
        <v>87.5</v>
      </c>
      <c r="K23" s="6"/>
      <c r="L23" s="6"/>
      <c r="M23" s="6"/>
      <c r="N23" s="7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customHeight="1">
      <c r="A24" s="73"/>
      <c r="B24" s="73"/>
      <c r="C24" s="73"/>
      <c r="D24" s="73"/>
      <c r="E24" s="73"/>
      <c r="F24" s="77"/>
      <c r="G24" s="119" t="s">
        <v>117</v>
      </c>
      <c r="H24" s="120" t="s">
        <v>62</v>
      </c>
      <c r="I24" s="121" t="s">
        <v>63</v>
      </c>
      <c r="J24" s="122">
        <f>J6</f>
        <v>31.44417461</v>
      </c>
      <c r="K24" s="73"/>
      <c r="L24" s="6"/>
      <c r="M24" s="6"/>
      <c r="N24" s="7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73"/>
      <c r="B25" s="74" t="s">
        <v>118</v>
      </c>
      <c r="C25" s="73"/>
      <c r="D25" s="73"/>
      <c r="E25" s="73"/>
      <c r="F25" s="73"/>
      <c r="G25" s="119" t="s">
        <v>119</v>
      </c>
      <c r="H25" s="120"/>
      <c r="I25" s="121"/>
      <c r="J25" s="122">
        <f>E32</f>
        <v>18</v>
      </c>
      <c r="K25" s="73"/>
      <c r="L25" s="6"/>
      <c r="M25" s="6"/>
      <c r="N25" s="7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3.5" customHeight="1">
      <c r="A26" s="73"/>
      <c r="B26" s="74"/>
      <c r="C26" s="73"/>
      <c r="D26" s="73"/>
      <c r="E26" s="73"/>
      <c r="F26" s="6"/>
      <c r="G26" s="126" t="s">
        <v>120</v>
      </c>
      <c r="H26" s="127" t="s">
        <v>106</v>
      </c>
      <c r="I26" s="128" t="s">
        <v>121</v>
      </c>
      <c r="J26" s="129">
        <f>E41 * 200</f>
        <v>9.828687235</v>
      </c>
      <c r="K26" s="73"/>
      <c r="L26" s="6"/>
      <c r="M26" s="6"/>
      <c r="N26" s="7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73"/>
      <c r="B27" s="130" t="s">
        <v>105</v>
      </c>
      <c r="C27" s="131" t="s">
        <v>55</v>
      </c>
      <c r="D27" s="131" t="s">
        <v>122</v>
      </c>
      <c r="E27" s="132">
        <f>2*SQRT(2*E8*E5*E11)*COS(E9*PI()/180)/(4*E3*1.028*PI()/60)</f>
        <v>0.2957562392</v>
      </c>
      <c r="F27" s="6"/>
      <c r="G27" s="133" t="s">
        <v>123</v>
      </c>
      <c r="H27" s="134" t="s">
        <v>106</v>
      </c>
      <c r="I27" s="135" t="s">
        <v>124</v>
      </c>
      <c r="J27" s="136">
        <f>E34*100</f>
        <v>8.006047876</v>
      </c>
      <c r="K27" s="73"/>
      <c r="L27" s="6"/>
      <c r="M27" s="6"/>
      <c r="N27" s="7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3.5" customHeight="1">
      <c r="A28" s="73"/>
      <c r="B28" s="137" t="s">
        <v>109</v>
      </c>
      <c r="C28" s="138" t="s">
        <v>55</v>
      </c>
      <c r="D28" s="138" t="s">
        <v>125</v>
      </c>
      <c r="E28" s="139">
        <f>E29*E27</f>
        <v>0.1989403431</v>
      </c>
      <c r="F28" s="6"/>
      <c r="G28" s="140" t="s">
        <v>126</v>
      </c>
      <c r="H28" s="141" t="s">
        <v>127</v>
      </c>
      <c r="I28" s="142"/>
      <c r="J28" s="142">
        <v>20.0</v>
      </c>
      <c r="K28" s="73"/>
      <c r="L28" s="6"/>
      <c r="M28" s="6"/>
      <c r="N28" s="7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3.5" customHeight="1">
      <c r="A29" s="73"/>
      <c r="B29" s="90" t="s">
        <v>128</v>
      </c>
      <c r="C29" s="91" t="s">
        <v>129</v>
      </c>
      <c r="D29" s="92" t="s">
        <v>130</v>
      </c>
      <c r="E29" s="143">
        <f>SQRT(((1-((J5/J4)*(J5/J4)))+SQRT((1-((J5/J4)*(J5/J4)))*(1-((J5/J4)*(J5/J4)))-(4*(-((J5/J4)*(J5/J4)*SIN(J6*PI()/180)*SIN(J6*PI()/180))))))/2)</f>
        <v>0.6726496915</v>
      </c>
      <c r="F29" s="73"/>
      <c r="G29" s="144" t="s">
        <v>131</v>
      </c>
      <c r="H29" s="145" t="s">
        <v>106</v>
      </c>
      <c r="I29" s="145" t="s">
        <v>132</v>
      </c>
      <c r="J29" s="146">
        <f>J27*(1+J28/100)</f>
        <v>9.607257452</v>
      </c>
      <c r="K29" s="73"/>
      <c r="L29" s="6"/>
      <c r="M29" s="6"/>
      <c r="N29" s="7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73"/>
      <c r="B30" s="90" t="s">
        <v>133</v>
      </c>
      <c r="C30" s="91" t="s">
        <v>62</v>
      </c>
      <c r="D30" s="92" t="s">
        <v>134</v>
      </c>
      <c r="E30" s="147">
        <f>(ATAN(((-1+(E29*E29)+((1/COS(J6*PI()/180))*(1/COS(J6*PI()/180))))^0.5)/E29))*180/PI()</f>
        <v>53.5</v>
      </c>
      <c r="F30" s="73"/>
      <c r="G30" s="148" t="s">
        <v>135</v>
      </c>
      <c r="H30" s="149" t="s">
        <v>136</v>
      </c>
      <c r="I30" s="149"/>
      <c r="J30" s="150">
        <f>'Dimensionnement CONDUITE FORCEE'!E27*1000/$E$4</f>
        <v>95.26482102</v>
      </c>
      <c r="K30" s="73"/>
      <c r="L30" s="6"/>
      <c r="M30" s="6"/>
      <c r="N30" s="7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customHeight="1">
      <c r="A31" s="73"/>
      <c r="B31" s="90" t="s">
        <v>137</v>
      </c>
      <c r="C31" s="91"/>
      <c r="D31" s="92" t="s">
        <v>138</v>
      </c>
      <c r="E31" s="151">
        <f>PI()*E27/E40</f>
        <v>19.28078786</v>
      </c>
      <c r="F31" s="73"/>
      <c r="G31" s="152" t="s">
        <v>139</v>
      </c>
      <c r="H31" s="153" t="s">
        <v>136</v>
      </c>
      <c r="I31" s="153"/>
      <c r="J31" s="154">
        <f>'Dimensionnement CONDUITE FORCEE'!E28*1000/$E$4</f>
        <v>23.81620526</v>
      </c>
      <c r="K31" s="73"/>
      <c r="L31" s="6"/>
      <c r="M31" s="6"/>
      <c r="N31" s="7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73"/>
      <c r="B32" s="90" t="s">
        <v>119</v>
      </c>
      <c r="C32" s="91"/>
      <c r="D32" s="92"/>
      <c r="E32" s="155">
        <f>ROUND(((PI()*E27)/(E14+E40)),0)</f>
        <v>18</v>
      </c>
      <c r="F32" s="156"/>
      <c r="G32" s="6"/>
      <c r="H32" s="6"/>
      <c r="I32" s="6"/>
      <c r="J32" s="6"/>
      <c r="K32" s="73"/>
      <c r="L32" s="6"/>
      <c r="M32" s="6"/>
      <c r="N32" s="7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73"/>
      <c r="B33" s="157" t="s">
        <v>140</v>
      </c>
      <c r="C33" s="158" t="s">
        <v>55</v>
      </c>
      <c r="D33" s="158" t="s">
        <v>141</v>
      </c>
      <c r="E33" s="139">
        <f>E7/((1-E13)*SIN(E9*PI()/180)*J3*E27*E15*PI()/360)</f>
        <v>0.08156507102</v>
      </c>
      <c r="F33" s="73"/>
      <c r="G33" s="6"/>
      <c r="H33" s="6"/>
      <c r="I33" s="6"/>
      <c r="J33" s="6"/>
      <c r="K33" s="73"/>
      <c r="L33" s="6"/>
      <c r="M33" s="6"/>
      <c r="N33" s="7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73"/>
      <c r="B34" s="105" t="s">
        <v>142</v>
      </c>
      <c r="C34" s="106" t="s">
        <v>55</v>
      </c>
      <c r="D34" s="107" t="s">
        <v>141</v>
      </c>
      <c r="E34" s="159">
        <f>(2*E7)/(E27*J3*(E15*PI()/180)*SIN(E9*PI()/180))/(1-E42)</f>
        <v>0.08006047876</v>
      </c>
      <c r="F34" s="73"/>
      <c r="G34" s="6"/>
      <c r="H34" s="6"/>
      <c r="I34" s="6"/>
      <c r="J34" s="6"/>
      <c r="K34" s="73"/>
      <c r="L34" s="6"/>
      <c r="M34" s="6"/>
      <c r="N34" s="7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73"/>
      <c r="B35" s="73"/>
      <c r="C35" s="73"/>
      <c r="D35" s="73"/>
      <c r="E35" s="160"/>
      <c r="F35" s="73"/>
      <c r="G35" s="6"/>
      <c r="H35" s="6"/>
      <c r="I35" s="6"/>
      <c r="J35" s="6"/>
      <c r="K35" s="73"/>
      <c r="L35" s="6"/>
      <c r="M35" s="6"/>
      <c r="N35" s="73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73"/>
      <c r="B36" s="74" t="s">
        <v>143</v>
      </c>
      <c r="C36" s="73"/>
      <c r="D36" s="73"/>
      <c r="E36" s="73"/>
      <c r="F36" s="73"/>
      <c r="G36" s="6"/>
      <c r="H36" s="6"/>
      <c r="I36" s="6"/>
      <c r="J36" s="6"/>
      <c r="K36" s="73"/>
      <c r="L36" s="6"/>
      <c r="M36" s="6"/>
      <c r="N36" s="7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73"/>
      <c r="B37" s="74"/>
      <c r="C37" s="73"/>
      <c r="D37" s="73"/>
      <c r="E37" s="73"/>
      <c r="F37" s="73"/>
      <c r="G37" s="6"/>
      <c r="H37" s="6"/>
      <c r="I37" s="6"/>
      <c r="J37" s="6"/>
      <c r="K37" s="73"/>
      <c r="L37" s="6"/>
      <c r="M37" s="6"/>
      <c r="N37" s="73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3.5" customHeight="1">
      <c r="A38" s="73"/>
      <c r="B38" s="83" t="s">
        <v>144</v>
      </c>
      <c r="C38" s="84" t="s">
        <v>55</v>
      </c>
      <c r="D38" s="85" t="s">
        <v>145</v>
      </c>
      <c r="E38" s="161">
        <f>((1-E29)/2)*E27</f>
        <v>0.04840794808</v>
      </c>
      <c r="F38" s="73"/>
      <c r="G38" s="6"/>
      <c r="H38" s="6"/>
      <c r="I38" s="6"/>
      <c r="J38" s="6"/>
      <c r="K38" s="73"/>
      <c r="L38" s="6"/>
      <c r="M38" s="6"/>
      <c r="N38" s="73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73"/>
      <c r="B39" s="90" t="s">
        <v>146</v>
      </c>
      <c r="C39" s="91" t="s">
        <v>55</v>
      </c>
      <c r="D39" s="92" t="s">
        <v>147</v>
      </c>
      <c r="E39" s="162">
        <f>E40*E29</f>
        <v>0.03241514428</v>
      </c>
      <c r="F39" s="73"/>
      <c r="G39" s="6"/>
      <c r="H39" s="6"/>
      <c r="I39" s="6"/>
      <c r="J39" s="6"/>
      <c r="K39" s="73"/>
      <c r="L39" s="6"/>
      <c r="M39" s="6"/>
      <c r="N39" s="73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73"/>
      <c r="B40" s="90" t="s">
        <v>148</v>
      </c>
      <c r="C40" s="91" t="s">
        <v>55</v>
      </c>
      <c r="D40" s="92" t="s">
        <v>149</v>
      </c>
      <c r="E40" s="163">
        <f>(E27*E13)/SIN(J6*PI()/180)</f>
        <v>0.04819023139</v>
      </c>
      <c r="F40" s="73"/>
      <c r="G40" s="6"/>
      <c r="H40" s="6"/>
      <c r="I40" s="6"/>
      <c r="J40" s="6"/>
      <c r="K40" s="73"/>
      <c r="L40" s="6"/>
      <c r="M40" s="6"/>
      <c r="N40" s="73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73"/>
      <c r="B41" s="90" t="s">
        <v>150</v>
      </c>
      <c r="C41" s="91" t="s">
        <v>55</v>
      </c>
      <c r="D41" s="92" t="s">
        <v>151</v>
      </c>
      <c r="E41" s="164">
        <f>((E27*E27)-(E28*E28))/(4*(E27*COS(J6*PI()/180)-(E28*COS(E10*PI()/180))))</f>
        <v>0.04914343617</v>
      </c>
      <c r="F41" s="73"/>
      <c r="G41" s="6"/>
      <c r="H41" s="6"/>
      <c r="I41" s="6"/>
      <c r="J41" s="6"/>
      <c r="K41" s="73"/>
      <c r="L41" s="6"/>
      <c r="M41" s="6"/>
      <c r="N41" s="73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3.5" customHeight="1">
      <c r="A42" s="73"/>
      <c r="B42" s="99" t="s">
        <v>152</v>
      </c>
      <c r="C42" s="100"/>
      <c r="D42" s="101" t="s">
        <v>153</v>
      </c>
      <c r="E42" s="165">
        <f>1-(PI()*E27-E32*E14)/(PI()*E27)</f>
        <v>0.06780422581</v>
      </c>
      <c r="F42" s="73"/>
      <c r="G42" s="6"/>
      <c r="H42" s="6"/>
      <c r="I42" s="6"/>
      <c r="J42" s="6"/>
      <c r="K42" s="73"/>
      <c r="L42" s="6"/>
      <c r="M42" s="6"/>
      <c r="N42" s="73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3.5" customHeight="1">
      <c r="A43" s="6"/>
      <c r="B43" s="105" t="s">
        <v>154</v>
      </c>
      <c r="C43" s="106" t="s">
        <v>62</v>
      </c>
      <c r="D43" s="107" t="s">
        <v>155</v>
      </c>
      <c r="E43" s="166">
        <f>2*ATAN((COS(J6*PI()/180))/(SIN(J6*PI()/180)+E29))*180/PI()</f>
        <v>71.07949142</v>
      </c>
      <c r="F43" s="73"/>
      <c r="G43" s="6"/>
      <c r="H43" s="6"/>
      <c r="I43" s="6"/>
      <c r="J43" s="6"/>
      <c r="K43" s="73"/>
      <c r="L43" s="6"/>
      <c r="M43" s="6"/>
      <c r="N43" s="73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3.5" customHeight="1">
      <c r="A44" s="6"/>
      <c r="B44" s="73"/>
      <c r="C44" s="73"/>
      <c r="D44" s="73"/>
      <c r="E44" s="73"/>
      <c r="F44" s="73"/>
      <c r="G44" s="6"/>
      <c r="H44" s="6"/>
      <c r="I44" s="6"/>
      <c r="J44" s="6"/>
      <c r="K44" s="167"/>
      <c r="L44" s="6"/>
      <c r="M44" s="6"/>
      <c r="N44" s="73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3.5" customHeight="1">
      <c r="A45" s="6"/>
      <c r="B45" s="73"/>
      <c r="C45" s="73"/>
      <c r="D45" s="73"/>
      <c r="E45" s="73"/>
      <c r="F45" s="73"/>
      <c r="G45" s="6"/>
      <c r="H45" s="6"/>
      <c r="I45" s="6"/>
      <c r="J45" s="6"/>
      <c r="K45" s="73"/>
      <c r="L45" s="6"/>
      <c r="M45" s="6"/>
      <c r="N45" s="73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3.5" customHeight="1">
      <c r="A46" s="6"/>
      <c r="B46" s="73"/>
      <c r="C46" s="73"/>
      <c r="D46" s="73"/>
      <c r="E46" s="73"/>
      <c r="F46" s="73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mergeCells count="4">
    <mergeCell ref="B3:B4"/>
    <mergeCell ref="C3:D3"/>
    <mergeCell ref="C4:D4"/>
    <mergeCell ref="H19:I1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9.43"/>
    <col customWidth="1" min="3" max="3" width="14.43"/>
    <col customWidth="1" min="4" max="4" width="17.14"/>
    <col customWidth="1" min="5" max="5" width="20.0"/>
    <col customWidth="1" min="6" max="8" width="14.43"/>
    <col customWidth="1" min="9" max="26" width="8.71"/>
  </cols>
  <sheetData>
    <row r="1" ht="15.75" customHeight="1">
      <c r="A1" s="168" t="s">
        <v>156</v>
      </c>
      <c r="B1" s="2"/>
      <c r="C1" s="2"/>
      <c r="D1" s="2"/>
      <c r="E1" s="2"/>
      <c r="F1" s="3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ht="15.75" customHeight="1">
      <c r="A2" s="10"/>
      <c r="B2" s="11"/>
      <c r="C2" s="11"/>
      <c r="D2" s="11"/>
      <c r="E2" s="11"/>
      <c r="F2" s="12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ht="15.75" customHeight="1">
      <c r="A3" s="170" t="s">
        <v>19</v>
      </c>
      <c r="B3" s="171">
        <f>'Dimensionnement CONDUITE FORCEE'!B8</f>
        <v>0.045</v>
      </c>
      <c r="C3" s="169"/>
      <c r="D3" s="172" t="s">
        <v>157</v>
      </c>
      <c r="E3" s="8"/>
      <c r="F3" s="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ht="15.75" customHeight="1">
      <c r="A4" s="169"/>
      <c r="B4" s="169"/>
      <c r="C4" s="169"/>
      <c r="D4" s="173" t="s">
        <v>158</v>
      </c>
      <c r="E4" s="174">
        <f>'Dimensionnement Théorique'!E9</f>
        <v>17</v>
      </c>
      <c r="F4" s="175">
        <f t="shared" ref="F4:F5" si="1">E4*PI()/180</f>
        <v>0.2967059728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ht="15.75" customHeight="1">
      <c r="A5" s="169"/>
      <c r="B5" s="169"/>
      <c r="C5" s="169"/>
      <c r="D5" s="176" t="s">
        <v>159</v>
      </c>
      <c r="E5" s="177">
        <v>60.0</v>
      </c>
      <c r="F5" s="175">
        <f t="shared" si="1"/>
        <v>1.047197551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ht="15.75" customHeight="1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ht="15.75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ht="16.5" customHeight="1">
      <c r="A8" s="178" t="s">
        <v>160</v>
      </c>
      <c r="B8" s="8"/>
      <c r="C8" s="9"/>
      <c r="D8" s="179"/>
      <c r="E8" s="180" t="s">
        <v>161</v>
      </c>
      <c r="F8" s="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ht="15.75" customHeight="1">
      <c r="A9" s="181" t="s">
        <v>162</v>
      </c>
      <c r="B9" s="9"/>
      <c r="C9" s="182">
        <f>100*'Dimensionnement Théorique'!E27/2</f>
        <v>14.78781196</v>
      </c>
      <c r="D9" s="169"/>
      <c r="E9" s="183" t="s">
        <v>163</v>
      </c>
      <c r="F9" s="184">
        <v>20.0</v>
      </c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ht="15.75" customHeight="1">
      <c r="A10" s="181" t="s">
        <v>164</v>
      </c>
      <c r="B10" s="9"/>
      <c r="C10" s="185">
        <f>'Dimensionnement Théorique'!J27</f>
        <v>8.006047876</v>
      </c>
      <c r="D10" s="169"/>
      <c r="E10" s="183" t="s">
        <v>165</v>
      </c>
      <c r="F10" s="186">
        <f>'Dimensionnement Théorique'!E34 * 100</f>
        <v>8.006047876</v>
      </c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ht="15.75" customHeight="1">
      <c r="A11" s="181" t="s">
        <v>166</v>
      </c>
      <c r="B11" s="9"/>
      <c r="C11" s="185">
        <f>C9/C10</f>
        <v>1.847080131</v>
      </c>
      <c r="D11" s="169"/>
      <c r="E11" s="183" t="s">
        <v>167</v>
      </c>
      <c r="F11" s="184">
        <v>0.3</v>
      </c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ht="13.5" customHeight="1">
      <c r="A12" s="187" t="s">
        <v>168</v>
      </c>
      <c r="B12" s="9"/>
      <c r="C12" s="188">
        <f>C10*1.2</f>
        <v>9.607257452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ht="15.75" customHeight="1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ht="15.75" customHeight="1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ht="15.75" customHeight="1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ht="15.75" customHeight="1">
      <c r="A16" s="169"/>
      <c r="B16" s="189" t="s">
        <v>169</v>
      </c>
      <c r="C16" s="190" t="s">
        <v>170</v>
      </c>
      <c r="D16" s="189" t="s">
        <v>171</v>
      </c>
      <c r="E16" s="169"/>
      <c r="F16" s="191" t="s">
        <v>172</v>
      </c>
      <c r="G16" s="8"/>
      <c r="H16" s="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ht="15.75" customHeight="1">
      <c r="A17" s="192">
        <v>1.0</v>
      </c>
      <c r="B17" s="193">
        <v>0.0</v>
      </c>
      <c r="C17" s="194">
        <f t="shared" ref="C17:C27" si="2">($C$9 * EXP(TAN($F$4)*$B17) + $F$11)*COS(PI()/2 + $F$5/2 - $B17)</f>
        <v>-7.543905981</v>
      </c>
      <c r="D17" s="195">
        <f t="shared" ref="D17:D27" si="3">($C$9 * EXP(TAN($F$4)*$B17) + $F$11)*SIN( PI()/2 + $F$5/2 - $B17)</f>
        <v>13.06642845</v>
      </c>
      <c r="E17" s="169"/>
      <c r="F17" s="196" t="s">
        <v>173</v>
      </c>
      <c r="G17" s="196" t="s">
        <v>170</v>
      </c>
      <c r="H17" s="196" t="s">
        <v>171</v>
      </c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ht="15.75" customHeight="1">
      <c r="A18" s="29"/>
      <c r="B18" s="197">
        <f t="shared" ref="B18:B27" si="4">B17+(F$4+F$5/2)/10</f>
        <v>0.08203047484</v>
      </c>
      <c r="C18" s="194">
        <f t="shared" si="2"/>
        <v>-6.608392164</v>
      </c>
      <c r="D18" s="195">
        <f t="shared" si="3"/>
        <v>13.98016171</v>
      </c>
      <c r="E18" s="169"/>
      <c r="F18" s="198">
        <v>0.0</v>
      </c>
      <c r="G18" s="199">
        <f t="shared" ref="G18:G59" si="5">$C$9*COS(F18)</f>
        <v>14.78781196</v>
      </c>
      <c r="H18" s="199">
        <f t="shared" ref="H18:H59" si="6">$C$9*SIN(F18)</f>
        <v>0</v>
      </c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ht="15.75" customHeight="1">
      <c r="A19" s="29"/>
      <c r="B19" s="197">
        <f t="shared" si="4"/>
        <v>0.1640609497</v>
      </c>
      <c r="C19" s="194">
        <f t="shared" si="2"/>
        <v>-5.576149347</v>
      </c>
      <c r="D19" s="195">
        <f t="shared" si="3"/>
        <v>14.83510492</v>
      </c>
      <c r="E19" s="169"/>
      <c r="F19" s="198">
        <f t="shared" ref="F19:F59" si="7">F18+2*PI()/40</f>
        <v>0.1570796327</v>
      </c>
      <c r="G19" s="199">
        <f t="shared" si="5"/>
        <v>14.60574946</v>
      </c>
      <c r="H19" s="199">
        <f t="shared" si="6"/>
        <v>2.313323453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ht="15.75" customHeight="1">
      <c r="A20" s="29"/>
      <c r="B20" s="197">
        <f t="shared" si="4"/>
        <v>0.2460914245</v>
      </c>
      <c r="C20" s="194">
        <f t="shared" si="2"/>
        <v>-4.450012024</v>
      </c>
      <c r="D20" s="195">
        <f t="shared" si="3"/>
        <v>15.62188859</v>
      </c>
      <c r="E20" s="169"/>
      <c r="F20" s="198">
        <f t="shared" si="7"/>
        <v>0.3141592654</v>
      </c>
      <c r="G20" s="199">
        <f t="shared" si="5"/>
        <v>14.06404493</v>
      </c>
      <c r="H20" s="199">
        <f t="shared" si="6"/>
        <v>4.569685206</v>
      </c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ht="15.75" customHeight="1">
      <c r="A21" s="29"/>
      <c r="B21" s="197">
        <f t="shared" si="4"/>
        <v>0.3281218994</v>
      </c>
      <c r="C21" s="194">
        <f t="shared" si="2"/>
        <v>-3.23366013</v>
      </c>
      <c r="D21" s="195">
        <f t="shared" si="3"/>
        <v>16.33117703</v>
      </c>
      <c r="E21" s="169"/>
      <c r="F21" s="198">
        <f t="shared" si="7"/>
        <v>0.471238898</v>
      </c>
      <c r="G21" s="199">
        <f t="shared" si="5"/>
        <v>13.17603694</v>
      </c>
      <c r="H21" s="199">
        <f t="shared" si="6"/>
        <v>6.713526143</v>
      </c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ht="15.75" customHeight="1">
      <c r="A22" s="29"/>
      <c r="B22" s="197">
        <f t="shared" si="4"/>
        <v>0.4101523742</v>
      </c>
      <c r="C22" s="194">
        <f t="shared" si="2"/>
        <v>-1.931634663</v>
      </c>
      <c r="D22" s="195">
        <f t="shared" si="3"/>
        <v>16.95373985</v>
      </c>
      <c r="E22" s="169"/>
      <c r="F22" s="198">
        <f t="shared" si="7"/>
        <v>0.6283185307</v>
      </c>
      <c r="G22" s="199">
        <f t="shared" si="5"/>
        <v>11.96359119</v>
      </c>
      <c r="H22" s="199">
        <f t="shared" si="6"/>
        <v>8.692057785</v>
      </c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ht="15.75" customHeight="1">
      <c r="A23" s="29"/>
      <c r="B23" s="197">
        <f t="shared" si="4"/>
        <v>0.4921828491</v>
      </c>
      <c r="C23" s="194">
        <f t="shared" si="2"/>
        <v>-0.5493476674</v>
      </c>
      <c r="D23" s="195">
        <f t="shared" si="3"/>
        <v>17.48052622</v>
      </c>
      <c r="E23" s="169"/>
      <c r="F23" s="198">
        <f t="shared" si="7"/>
        <v>0.7853981634</v>
      </c>
      <c r="G23" s="199">
        <f t="shared" si="5"/>
        <v>10.45656212</v>
      </c>
      <c r="H23" s="199">
        <f t="shared" si="6"/>
        <v>10.45656212</v>
      </c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ht="15.75" customHeight="1">
      <c r="A24" s="29"/>
      <c r="B24" s="197">
        <f t="shared" si="4"/>
        <v>0.5742133239</v>
      </c>
      <c r="C24" s="194">
        <f t="shared" si="2"/>
        <v>0.9069137696</v>
      </c>
      <c r="D24" s="195">
        <f t="shared" si="3"/>
        <v>17.90274168</v>
      </c>
      <c r="E24" s="169"/>
      <c r="F24" s="198">
        <f t="shared" si="7"/>
        <v>0.9424777961</v>
      </c>
      <c r="G24" s="199">
        <f t="shared" si="5"/>
        <v>8.692057785</v>
      </c>
      <c r="H24" s="199">
        <f t="shared" si="6"/>
        <v>11.96359119</v>
      </c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ht="15.75" customHeight="1">
      <c r="A25" s="29"/>
      <c r="B25" s="197">
        <f t="shared" si="4"/>
        <v>0.6562437987</v>
      </c>
      <c r="C25" s="194">
        <f t="shared" si="2"/>
        <v>2.429989868</v>
      </c>
      <c r="D25" s="195">
        <f t="shared" si="3"/>
        <v>18.21192697</v>
      </c>
      <c r="E25" s="169"/>
      <c r="F25" s="198">
        <f t="shared" si="7"/>
        <v>1.099557429</v>
      </c>
      <c r="G25" s="199">
        <f t="shared" si="5"/>
        <v>6.713526143</v>
      </c>
      <c r="H25" s="199">
        <f t="shared" si="6"/>
        <v>13.17603694</v>
      </c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ht="15.75" customHeight="1">
      <c r="A26" s="29"/>
      <c r="B26" s="197">
        <f t="shared" si="4"/>
        <v>0.7382742736</v>
      </c>
      <c r="C26" s="194">
        <f t="shared" si="2"/>
        <v>4.011857144</v>
      </c>
      <c r="D26" s="195">
        <f t="shared" si="3"/>
        <v>18.4000383</v>
      </c>
      <c r="E26" s="169"/>
      <c r="F26" s="198">
        <f t="shared" si="7"/>
        <v>1.256637061</v>
      </c>
      <c r="G26" s="199">
        <f t="shared" si="5"/>
        <v>4.569685206</v>
      </c>
      <c r="H26" s="199">
        <f t="shared" si="6"/>
        <v>14.06404493</v>
      </c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ht="15.75" customHeight="1">
      <c r="A27" s="68"/>
      <c r="B27" s="197">
        <f t="shared" si="4"/>
        <v>0.8203047484</v>
      </c>
      <c r="C27" s="194">
        <f t="shared" si="2"/>
        <v>5.643644314</v>
      </c>
      <c r="D27" s="195">
        <f t="shared" si="3"/>
        <v>18.45952878</v>
      </c>
      <c r="E27" s="169"/>
      <c r="F27" s="198">
        <f t="shared" si="7"/>
        <v>1.413716694</v>
      </c>
      <c r="G27" s="199">
        <f t="shared" si="5"/>
        <v>2.313323453</v>
      </c>
      <c r="H27" s="199">
        <f t="shared" si="6"/>
        <v>14.60574946</v>
      </c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ht="15.75" customHeight="1">
      <c r="A28" s="200">
        <v>2.0</v>
      </c>
      <c r="B28" s="201"/>
      <c r="C28" s="202">
        <f>C27</f>
        <v>5.643644314</v>
      </c>
      <c r="D28" s="202">
        <f t="shared" ref="D28:D40" si="8">$D$27</f>
        <v>18.45952878</v>
      </c>
      <c r="E28" s="169"/>
      <c r="F28" s="198">
        <f t="shared" si="7"/>
        <v>1.570796327</v>
      </c>
      <c r="G28" s="199">
        <f t="shared" si="5"/>
        <v>0</v>
      </c>
      <c r="H28" s="199">
        <f t="shared" si="6"/>
        <v>14.78781196</v>
      </c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ht="15.75" customHeight="1">
      <c r="A29" s="29"/>
      <c r="B29" s="203"/>
      <c r="C29" s="202">
        <f>C28+'Dimensionnement INJECTEUR'!Linj/12</f>
        <v>7.310310981</v>
      </c>
      <c r="D29" s="202">
        <f t="shared" si="8"/>
        <v>18.45952878</v>
      </c>
      <c r="E29" s="169"/>
      <c r="F29" s="198">
        <f t="shared" si="7"/>
        <v>1.727875959</v>
      </c>
      <c r="G29" s="199">
        <f t="shared" si="5"/>
        <v>-2.313323453</v>
      </c>
      <c r="H29" s="199">
        <f t="shared" si="6"/>
        <v>14.60574946</v>
      </c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ht="15.75" customHeight="1">
      <c r="A30" s="29"/>
      <c r="B30" s="203"/>
      <c r="C30" s="202">
        <f>C29+'Dimensionnement INJECTEUR'!Linj/12</f>
        <v>8.976977647</v>
      </c>
      <c r="D30" s="202">
        <f t="shared" si="8"/>
        <v>18.45952878</v>
      </c>
      <c r="E30" s="169"/>
      <c r="F30" s="198">
        <f t="shared" si="7"/>
        <v>1.884955592</v>
      </c>
      <c r="G30" s="199">
        <f t="shared" si="5"/>
        <v>-4.569685206</v>
      </c>
      <c r="H30" s="199">
        <f t="shared" si="6"/>
        <v>14.06404493</v>
      </c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ht="15.75" customHeight="1">
      <c r="A31" s="29"/>
      <c r="B31" s="203"/>
      <c r="C31" s="202">
        <f>C30+'Dimensionnement INJECTEUR'!Linj/12</f>
        <v>10.64364431</v>
      </c>
      <c r="D31" s="202">
        <f t="shared" si="8"/>
        <v>18.45952878</v>
      </c>
      <c r="E31" s="169"/>
      <c r="F31" s="198">
        <f t="shared" si="7"/>
        <v>2.042035225</v>
      </c>
      <c r="G31" s="199">
        <f t="shared" si="5"/>
        <v>-6.713526143</v>
      </c>
      <c r="H31" s="199">
        <f t="shared" si="6"/>
        <v>13.17603694</v>
      </c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ht="15.75" customHeight="1">
      <c r="A32" s="29"/>
      <c r="B32" s="203"/>
      <c r="C32" s="202">
        <f>C31+'Dimensionnement INJECTEUR'!Linj/12</f>
        <v>12.31031098</v>
      </c>
      <c r="D32" s="202">
        <f t="shared" si="8"/>
        <v>18.45952878</v>
      </c>
      <c r="E32" s="169"/>
      <c r="F32" s="198">
        <f t="shared" si="7"/>
        <v>2.199114858</v>
      </c>
      <c r="G32" s="199">
        <f t="shared" si="5"/>
        <v>-8.692057785</v>
      </c>
      <c r="H32" s="199">
        <f t="shared" si="6"/>
        <v>11.96359119</v>
      </c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</row>
    <row r="33" ht="15.75" customHeight="1">
      <c r="A33" s="29"/>
      <c r="B33" s="203"/>
      <c r="C33" s="202">
        <f>C32+'Dimensionnement INJECTEUR'!Linj/12</f>
        <v>13.97697765</v>
      </c>
      <c r="D33" s="202">
        <f t="shared" si="8"/>
        <v>18.45952878</v>
      </c>
      <c r="E33" s="169"/>
      <c r="F33" s="198">
        <f t="shared" si="7"/>
        <v>2.35619449</v>
      </c>
      <c r="G33" s="199">
        <f t="shared" si="5"/>
        <v>-10.45656212</v>
      </c>
      <c r="H33" s="199">
        <f t="shared" si="6"/>
        <v>10.45656212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</row>
    <row r="34" ht="15.75" customHeight="1">
      <c r="A34" s="29"/>
      <c r="B34" s="203"/>
      <c r="C34" s="202">
        <f>C33+'Dimensionnement INJECTEUR'!Linj/12</f>
        <v>15.64364431</v>
      </c>
      <c r="D34" s="202">
        <f t="shared" si="8"/>
        <v>18.45952878</v>
      </c>
      <c r="E34" s="169"/>
      <c r="F34" s="198">
        <f t="shared" si="7"/>
        <v>2.513274123</v>
      </c>
      <c r="G34" s="199">
        <f t="shared" si="5"/>
        <v>-11.96359119</v>
      </c>
      <c r="H34" s="199">
        <f t="shared" si="6"/>
        <v>8.692057785</v>
      </c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</row>
    <row r="35" ht="15.75" customHeight="1">
      <c r="A35" s="29"/>
      <c r="B35" s="203"/>
      <c r="C35" s="202">
        <f>C34+'Dimensionnement INJECTEUR'!Linj/12</f>
        <v>17.31031098</v>
      </c>
      <c r="D35" s="202">
        <f t="shared" si="8"/>
        <v>18.45952878</v>
      </c>
      <c r="E35" s="169"/>
      <c r="F35" s="198">
        <f t="shared" si="7"/>
        <v>2.670353756</v>
      </c>
      <c r="G35" s="199">
        <f t="shared" si="5"/>
        <v>-13.17603694</v>
      </c>
      <c r="H35" s="199">
        <f t="shared" si="6"/>
        <v>6.713526143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</row>
    <row r="36" ht="15.75" customHeight="1">
      <c r="A36" s="29"/>
      <c r="B36" s="203"/>
      <c r="C36" s="202">
        <f>C35+'Dimensionnement INJECTEUR'!Linj/12</f>
        <v>18.97697765</v>
      </c>
      <c r="D36" s="202">
        <f t="shared" si="8"/>
        <v>18.45952878</v>
      </c>
      <c r="E36" s="169"/>
      <c r="F36" s="198">
        <f t="shared" si="7"/>
        <v>2.827433388</v>
      </c>
      <c r="G36" s="199">
        <f t="shared" si="5"/>
        <v>-14.06404493</v>
      </c>
      <c r="H36" s="199">
        <f t="shared" si="6"/>
        <v>4.569685206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  <row r="37" ht="15.75" customHeight="1">
      <c r="A37" s="29"/>
      <c r="B37" s="203"/>
      <c r="C37" s="202">
        <f>C36+'Dimensionnement INJECTEUR'!Linj/12</f>
        <v>20.64364431</v>
      </c>
      <c r="D37" s="202">
        <f t="shared" si="8"/>
        <v>18.45952878</v>
      </c>
      <c r="E37" s="169"/>
      <c r="F37" s="198">
        <f t="shared" si="7"/>
        <v>2.984513021</v>
      </c>
      <c r="G37" s="199">
        <f t="shared" si="5"/>
        <v>-14.60574946</v>
      </c>
      <c r="H37" s="199">
        <f t="shared" si="6"/>
        <v>2.313323453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ht="15.75" customHeight="1">
      <c r="A38" s="29"/>
      <c r="B38" s="203"/>
      <c r="C38" s="202">
        <f>C37+'Dimensionnement INJECTEUR'!Linj/12</f>
        <v>22.31031098</v>
      </c>
      <c r="D38" s="202">
        <f t="shared" si="8"/>
        <v>18.45952878</v>
      </c>
      <c r="E38" s="169"/>
      <c r="F38" s="198">
        <f t="shared" si="7"/>
        <v>3.141592654</v>
      </c>
      <c r="G38" s="199">
        <f t="shared" si="5"/>
        <v>-14.78781196</v>
      </c>
      <c r="H38" s="199">
        <f t="shared" si="6"/>
        <v>0</v>
      </c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ht="15.75" customHeight="1">
      <c r="A39" s="29"/>
      <c r="B39" s="203"/>
      <c r="C39" s="202">
        <f>C38+'Dimensionnement INJECTEUR'!Linj/12</f>
        <v>23.97697765</v>
      </c>
      <c r="D39" s="202">
        <f t="shared" si="8"/>
        <v>18.45952878</v>
      </c>
      <c r="E39" s="169"/>
      <c r="F39" s="198">
        <f t="shared" si="7"/>
        <v>3.298672286</v>
      </c>
      <c r="G39" s="199">
        <f t="shared" si="5"/>
        <v>-14.60574946</v>
      </c>
      <c r="H39" s="199">
        <f t="shared" si="6"/>
        <v>-2.313323453</v>
      </c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</row>
    <row r="40" ht="15.75" customHeight="1">
      <c r="A40" s="68"/>
      <c r="B40" s="204"/>
      <c r="C40" s="202">
        <f>C39+'Dimensionnement INJECTEUR'!Linj/12</f>
        <v>25.64364431</v>
      </c>
      <c r="D40" s="202">
        <f t="shared" si="8"/>
        <v>18.45952878</v>
      </c>
      <c r="E40" s="169"/>
      <c r="F40" s="198">
        <f t="shared" si="7"/>
        <v>3.455751919</v>
      </c>
      <c r="G40" s="199">
        <f t="shared" si="5"/>
        <v>-14.06404493</v>
      </c>
      <c r="H40" s="199">
        <f t="shared" si="6"/>
        <v>-4.569685206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</row>
    <row r="41" ht="15.75" customHeight="1">
      <c r="A41" s="169"/>
      <c r="B41" s="169"/>
      <c r="C41" s="169"/>
      <c r="D41" s="169"/>
      <c r="E41" s="169"/>
      <c r="F41" s="198">
        <f t="shared" si="7"/>
        <v>3.612831552</v>
      </c>
      <c r="G41" s="199">
        <f t="shared" si="5"/>
        <v>-13.17603694</v>
      </c>
      <c r="H41" s="199">
        <f t="shared" si="6"/>
        <v>-6.713526143</v>
      </c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</row>
    <row r="42" ht="15.75" customHeight="1">
      <c r="A42" s="205">
        <v>3.0</v>
      </c>
      <c r="B42" s="206"/>
      <c r="C42" s="207">
        <f>( $C$9 + $F$11)* COS(PI()/2 - $F$5/2)</f>
        <v>7.543905981</v>
      </c>
      <c r="D42" s="207">
        <f>( $C$9 + $F$11)* SIN(PI()/2 - $F$5/2)</f>
        <v>13.06642845</v>
      </c>
      <c r="E42" s="169"/>
      <c r="F42" s="198">
        <f t="shared" si="7"/>
        <v>3.769911184</v>
      </c>
      <c r="G42" s="199">
        <f t="shared" si="5"/>
        <v>-11.96359119</v>
      </c>
      <c r="H42" s="199">
        <f t="shared" si="6"/>
        <v>-8.692057785</v>
      </c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</row>
    <row r="43" ht="15.75" customHeight="1">
      <c r="A43" s="208"/>
      <c r="B43" s="208"/>
      <c r="C43" s="207">
        <f t="shared" ref="C43:C53" si="9">C42  + 1</f>
        <v>8.543905981</v>
      </c>
      <c r="D43" s="207">
        <f t="shared" ref="D43:D53" si="10">D42  - TAN($F$5/2 - $F$4/2)*1</f>
        <v>12.67251797</v>
      </c>
      <c r="E43" s="169"/>
      <c r="F43" s="198">
        <f t="shared" si="7"/>
        <v>3.926990817</v>
      </c>
      <c r="G43" s="199">
        <f t="shared" si="5"/>
        <v>-10.45656212</v>
      </c>
      <c r="H43" s="199">
        <f t="shared" si="6"/>
        <v>-10.45656212</v>
      </c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</row>
    <row r="44" ht="15.75" customHeight="1">
      <c r="A44" s="208"/>
      <c r="B44" s="208"/>
      <c r="C44" s="207">
        <f t="shared" si="9"/>
        <v>9.543905981</v>
      </c>
      <c r="D44" s="207">
        <f t="shared" si="10"/>
        <v>12.2786075</v>
      </c>
      <c r="E44" s="169"/>
      <c r="F44" s="198">
        <f t="shared" si="7"/>
        <v>4.08407045</v>
      </c>
      <c r="G44" s="199">
        <f t="shared" si="5"/>
        <v>-8.692057785</v>
      </c>
      <c r="H44" s="199">
        <f t="shared" si="6"/>
        <v>-11.96359119</v>
      </c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</row>
    <row r="45" ht="15.75" customHeight="1">
      <c r="A45" s="208"/>
      <c r="B45" s="208"/>
      <c r="C45" s="207">
        <f t="shared" si="9"/>
        <v>10.54390598</v>
      </c>
      <c r="D45" s="207">
        <f t="shared" si="10"/>
        <v>11.88469702</v>
      </c>
      <c r="E45" s="169"/>
      <c r="F45" s="198">
        <f t="shared" si="7"/>
        <v>4.241150082</v>
      </c>
      <c r="G45" s="199">
        <f t="shared" si="5"/>
        <v>-6.713526143</v>
      </c>
      <c r="H45" s="199">
        <f t="shared" si="6"/>
        <v>-13.17603694</v>
      </c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</row>
    <row r="46" ht="15.75" customHeight="1">
      <c r="A46" s="208"/>
      <c r="B46" s="208"/>
      <c r="C46" s="207">
        <f t="shared" si="9"/>
        <v>11.54390598</v>
      </c>
      <c r="D46" s="207">
        <f t="shared" si="10"/>
        <v>11.49078654</v>
      </c>
      <c r="E46" s="169"/>
      <c r="F46" s="198">
        <f t="shared" si="7"/>
        <v>4.398229715</v>
      </c>
      <c r="G46" s="199">
        <f t="shared" si="5"/>
        <v>-4.569685206</v>
      </c>
      <c r="H46" s="199">
        <f t="shared" si="6"/>
        <v>-14.06404493</v>
      </c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</row>
    <row r="47" ht="15.75" customHeight="1">
      <c r="A47" s="208"/>
      <c r="B47" s="208"/>
      <c r="C47" s="207">
        <f t="shared" si="9"/>
        <v>12.54390598</v>
      </c>
      <c r="D47" s="207">
        <f t="shared" si="10"/>
        <v>11.09687607</v>
      </c>
      <c r="E47" s="169"/>
      <c r="F47" s="198">
        <f t="shared" si="7"/>
        <v>4.555309348</v>
      </c>
      <c r="G47" s="199">
        <f t="shared" si="5"/>
        <v>-2.313323453</v>
      </c>
      <c r="H47" s="199">
        <f t="shared" si="6"/>
        <v>-14.60574946</v>
      </c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</row>
    <row r="48" ht="15.75" customHeight="1">
      <c r="A48" s="208"/>
      <c r="B48" s="208"/>
      <c r="C48" s="207">
        <f t="shared" si="9"/>
        <v>13.54390598</v>
      </c>
      <c r="D48" s="207">
        <f t="shared" si="10"/>
        <v>10.70296559</v>
      </c>
      <c r="E48" s="169"/>
      <c r="F48" s="198">
        <f t="shared" si="7"/>
        <v>4.71238898</v>
      </c>
      <c r="G48" s="199">
        <f t="shared" si="5"/>
        <v>0</v>
      </c>
      <c r="H48" s="199">
        <f t="shared" si="6"/>
        <v>-14.78781196</v>
      </c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</row>
    <row r="49" ht="15.75" customHeight="1">
      <c r="A49" s="208"/>
      <c r="B49" s="208"/>
      <c r="C49" s="207">
        <f t="shared" si="9"/>
        <v>14.54390598</v>
      </c>
      <c r="D49" s="207">
        <f t="shared" si="10"/>
        <v>10.30905512</v>
      </c>
      <c r="E49" s="169"/>
      <c r="F49" s="198">
        <f t="shared" si="7"/>
        <v>4.869468613</v>
      </c>
      <c r="G49" s="199">
        <f t="shared" si="5"/>
        <v>2.313323453</v>
      </c>
      <c r="H49" s="199">
        <f t="shared" si="6"/>
        <v>-14.60574946</v>
      </c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</row>
    <row r="50" ht="15.75" customHeight="1">
      <c r="A50" s="208"/>
      <c r="B50" s="208"/>
      <c r="C50" s="207">
        <f t="shared" si="9"/>
        <v>15.54390598</v>
      </c>
      <c r="D50" s="207">
        <f t="shared" si="10"/>
        <v>9.915144641</v>
      </c>
      <c r="E50" s="169"/>
      <c r="F50" s="198">
        <f t="shared" si="7"/>
        <v>5.026548246</v>
      </c>
      <c r="G50" s="199">
        <f t="shared" si="5"/>
        <v>4.569685206</v>
      </c>
      <c r="H50" s="199">
        <f t="shared" si="6"/>
        <v>-14.06404493</v>
      </c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</row>
    <row r="51" ht="15.75" customHeight="1">
      <c r="A51" s="208"/>
      <c r="B51" s="208"/>
      <c r="C51" s="207">
        <f t="shared" si="9"/>
        <v>16.54390598</v>
      </c>
      <c r="D51" s="207">
        <f t="shared" si="10"/>
        <v>9.521234166</v>
      </c>
      <c r="E51" s="169"/>
      <c r="F51" s="198">
        <f t="shared" si="7"/>
        <v>5.183627878</v>
      </c>
      <c r="G51" s="199">
        <f t="shared" si="5"/>
        <v>6.713526143</v>
      </c>
      <c r="H51" s="199">
        <f t="shared" si="6"/>
        <v>-13.17603694</v>
      </c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</row>
    <row r="52" ht="15.75" customHeight="1">
      <c r="A52" s="208"/>
      <c r="B52" s="208"/>
      <c r="C52" s="207">
        <f t="shared" si="9"/>
        <v>17.54390598</v>
      </c>
      <c r="D52" s="207">
        <f t="shared" si="10"/>
        <v>9.12732369</v>
      </c>
      <c r="E52" s="169"/>
      <c r="F52" s="198">
        <f t="shared" si="7"/>
        <v>5.340707511</v>
      </c>
      <c r="G52" s="199">
        <f t="shared" si="5"/>
        <v>8.692057785</v>
      </c>
      <c r="H52" s="199">
        <f t="shared" si="6"/>
        <v>-11.96359119</v>
      </c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</row>
    <row r="53" ht="15.75" customHeight="1">
      <c r="A53" s="209"/>
      <c r="B53" s="209"/>
      <c r="C53" s="207">
        <f t="shared" si="9"/>
        <v>18.54390598</v>
      </c>
      <c r="D53" s="207">
        <f t="shared" si="10"/>
        <v>8.733413215</v>
      </c>
      <c r="E53" s="169"/>
      <c r="F53" s="198">
        <f t="shared" si="7"/>
        <v>5.497787144</v>
      </c>
      <c r="G53" s="199">
        <f t="shared" si="5"/>
        <v>10.45656212</v>
      </c>
      <c r="H53" s="199">
        <f t="shared" si="6"/>
        <v>-10.45656212</v>
      </c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</row>
    <row r="54" ht="15.75" customHeight="1">
      <c r="A54" s="169"/>
      <c r="B54" s="169"/>
      <c r="C54" s="169"/>
      <c r="D54" s="169"/>
      <c r="E54" s="169"/>
      <c r="F54" s="198">
        <f t="shared" si="7"/>
        <v>5.654866776</v>
      </c>
      <c r="G54" s="199">
        <f t="shared" si="5"/>
        <v>11.96359119</v>
      </c>
      <c r="H54" s="199">
        <f t="shared" si="6"/>
        <v>-8.692057785</v>
      </c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</row>
    <row r="55" ht="15.75" customHeight="1">
      <c r="A55" s="169"/>
      <c r="B55" s="169"/>
      <c r="C55" s="169"/>
      <c r="D55" s="169"/>
      <c r="E55" s="169"/>
      <c r="F55" s="198">
        <f t="shared" si="7"/>
        <v>5.811946409</v>
      </c>
      <c r="G55" s="199">
        <f t="shared" si="5"/>
        <v>13.17603694</v>
      </c>
      <c r="H55" s="199">
        <f t="shared" si="6"/>
        <v>-6.713526143</v>
      </c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</row>
    <row r="56" ht="15.75" customHeight="1">
      <c r="A56" s="169"/>
      <c r="B56" s="169"/>
      <c r="C56" s="169"/>
      <c r="D56" s="169"/>
      <c r="E56" s="169"/>
      <c r="F56" s="198">
        <f t="shared" si="7"/>
        <v>5.969026042</v>
      </c>
      <c r="G56" s="199">
        <f t="shared" si="5"/>
        <v>14.06404493</v>
      </c>
      <c r="H56" s="199">
        <f t="shared" si="6"/>
        <v>-4.569685206</v>
      </c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</row>
    <row r="57" ht="15.75" customHeight="1">
      <c r="A57" s="169"/>
      <c r="B57" s="169"/>
      <c r="C57" s="169"/>
      <c r="D57" s="169"/>
      <c r="E57" s="169"/>
      <c r="F57" s="198">
        <f t="shared" si="7"/>
        <v>6.126105675</v>
      </c>
      <c r="G57" s="199">
        <f t="shared" si="5"/>
        <v>14.60574946</v>
      </c>
      <c r="H57" s="199">
        <f t="shared" si="6"/>
        <v>-2.313323453</v>
      </c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</row>
    <row r="58" ht="15.75" customHeight="1">
      <c r="A58" s="169"/>
      <c r="B58" s="169"/>
      <c r="C58" s="169"/>
      <c r="D58" s="169"/>
      <c r="E58" s="169"/>
      <c r="F58" s="198">
        <f t="shared" si="7"/>
        <v>6.283185307</v>
      </c>
      <c r="G58" s="199">
        <f t="shared" si="5"/>
        <v>14.78781196</v>
      </c>
      <c r="H58" s="199">
        <f t="shared" si="6"/>
        <v>0</v>
      </c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</row>
    <row r="59" ht="15.75" customHeight="1">
      <c r="A59" s="169"/>
      <c r="B59" s="169"/>
      <c r="C59" s="169"/>
      <c r="D59" s="169"/>
      <c r="E59" s="169"/>
      <c r="F59" s="210">
        <f t="shared" si="7"/>
        <v>6.44026494</v>
      </c>
      <c r="G59" s="211">
        <f t="shared" si="5"/>
        <v>14.60574946</v>
      </c>
      <c r="H59" s="211">
        <f t="shared" si="6"/>
        <v>2.313323453</v>
      </c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</row>
    <row r="60" ht="15.75" customHeight="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</row>
    <row r="61" ht="15.75" customHeight="1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</row>
    <row r="62" ht="15.75" customHeight="1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</row>
    <row r="63" ht="15.75" customHeight="1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</row>
    <row r="64" ht="15.75" customHeight="1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ht="15.75" customHeight="1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</row>
    <row r="66" ht="15.75" customHeight="1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ht="15.75" customHeight="1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ht="15.75" customHeight="1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ht="15.75" customHeight="1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ht="15.75" customHeight="1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ht="15.75" customHeight="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</row>
    <row r="72" ht="15.75" customHeight="1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ht="15.75" customHeight="1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ht="15.75" customHeight="1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ht="15.75" customHeight="1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ht="15.75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</row>
    <row r="77" ht="15.75" customHeight="1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</row>
    <row r="78" ht="15.75" customHeight="1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</row>
    <row r="79" ht="15.75" customHeight="1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</row>
    <row r="80" ht="15.75" customHeight="1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ht="15.75" customHeight="1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ht="15.75" customHeight="1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ht="15.75" customHeight="1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ht="15.75" customHeight="1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ht="15.75" customHeight="1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ht="15.75" customHeight="1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</row>
    <row r="87" ht="15.75" customHeight="1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</row>
    <row r="88" ht="15.75" customHeight="1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ht="15.75" customHeight="1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</row>
    <row r="90" ht="15.75" customHeight="1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</row>
    <row r="91" ht="15.75" customHeight="1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</row>
    <row r="92" ht="15.75" customHeight="1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</row>
    <row r="93" ht="15.75" customHeight="1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</row>
    <row r="94" ht="15.75" customHeight="1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</row>
    <row r="95" ht="15.75" customHeight="1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ht="15.75" customHeight="1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</row>
    <row r="97" ht="15.75" customHeight="1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</row>
    <row r="98" ht="15.75" customHeight="1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</row>
    <row r="99" ht="15.75" customHeight="1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</row>
    <row r="100" ht="15.75" customHeight="1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</row>
    <row r="101" ht="15.75" customHeight="1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</row>
    <row r="102" ht="15.75" customHeight="1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</row>
    <row r="103" ht="15.75" customHeight="1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</row>
    <row r="104" ht="15.75" customHeight="1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</row>
    <row r="105" ht="15.75" customHeight="1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</row>
    <row r="106" ht="15.75" customHeight="1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</row>
    <row r="107" ht="15.75" customHeight="1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</row>
    <row r="108" ht="15.75" customHeight="1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</row>
    <row r="109" ht="15.75" customHeight="1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</row>
    <row r="110" ht="15.75" customHeight="1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</row>
    <row r="111" ht="15.75" customHeight="1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</row>
    <row r="112" ht="15.75" customHeight="1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</row>
    <row r="113" ht="15.75" customHeight="1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</row>
    <row r="114" ht="15.75" customHeight="1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</row>
    <row r="115" ht="15.75" customHeight="1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</row>
    <row r="116" ht="15.75" customHeight="1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</row>
    <row r="117" ht="15.75" customHeight="1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</row>
    <row r="118" ht="15.75" customHeight="1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</row>
    <row r="119" ht="15.75" customHeight="1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</row>
    <row r="120" ht="15.75" customHeight="1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</row>
    <row r="121" ht="15.75" customHeight="1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ht="15.75" customHeight="1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ht="15.75" customHeight="1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</row>
    <row r="124" ht="15.75" customHeight="1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</row>
    <row r="125" ht="15.75" customHeight="1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</row>
    <row r="126" ht="15.75" customHeight="1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</row>
    <row r="127" ht="15.75" customHeight="1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</row>
    <row r="128" ht="15.75" customHeight="1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</row>
    <row r="129" ht="15.75" customHeight="1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</row>
    <row r="130" ht="15.75" customHeight="1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</row>
    <row r="131" ht="15.75" customHeight="1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</row>
    <row r="132" ht="15.75" customHeight="1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</row>
    <row r="133" ht="15.75" customHeight="1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</row>
    <row r="134" ht="15.75" customHeight="1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</row>
    <row r="135" ht="15.75" customHeight="1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</row>
    <row r="136" ht="15.75" customHeight="1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</row>
    <row r="137" ht="15.75" customHeight="1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</row>
    <row r="138" ht="15.75" customHeight="1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</row>
    <row r="139" ht="15.75" customHeight="1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</row>
    <row r="140" ht="15.75" customHeight="1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</row>
    <row r="141" ht="15.75" customHeight="1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</row>
    <row r="142" ht="15.75" customHeight="1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</row>
    <row r="143" ht="15.75" customHeight="1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</row>
    <row r="144" ht="15.75" customHeight="1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</row>
    <row r="145" ht="15.75" customHeight="1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</row>
    <row r="146" ht="15.75" customHeight="1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</row>
    <row r="147" ht="15.75" customHeight="1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</row>
    <row r="148" ht="15.75" customHeight="1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</row>
    <row r="149" ht="15.75" customHeight="1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</row>
    <row r="150" ht="15.75" customHeight="1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</row>
    <row r="151" ht="15.75" customHeight="1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</row>
    <row r="152" ht="15.75" customHeight="1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</row>
    <row r="153" ht="15.75" customHeight="1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</row>
    <row r="154" ht="15.75" customHeight="1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</row>
    <row r="155" ht="15.75" customHeight="1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</row>
    <row r="156" ht="15.75" customHeight="1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</row>
    <row r="157" ht="15.75" customHeight="1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</row>
    <row r="158" ht="15.75" customHeight="1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</row>
    <row r="159" ht="15.75" customHeight="1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</row>
    <row r="160" ht="15.75" customHeight="1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</row>
    <row r="161" ht="15.75" customHeight="1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</row>
    <row r="162" ht="15.75" customHeight="1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</row>
    <row r="163" ht="15.75" customHeight="1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ht="15.75" customHeight="1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</row>
    <row r="165" ht="15.75" customHeight="1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</row>
    <row r="166" ht="15.75" customHeight="1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</row>
    <row r="167" ht="15.75" customHeight="1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</row>
    <row r="168" ht="15.75" customHeight="1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</row>
    <row r="169" ht="15.75" customHeight="1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</row>
    <row r="170" ht="15.75" customHeight="1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</row>
    <row r="171" ht="15.75" customHeight="1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</row>
    <row r="172" ht="15.75" customHeight="1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</row>
    <row r="173" ht="15.75" customHeight="1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</row>
    <row r="174" ht="15.75" customHeight="1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ht="15.75" customHeight="1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</row>
    <row r="176" ht="15.75" customHeight="1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ht="15.75" customHeight="1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</row>
    <row r="178" ht="15.75" customHeight="1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</row>
    <row r="179" ht="15.75" customHeight="1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</row>
    <row r="180" ht="15.75" customHeight="1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</row>
    <row r="181" ht="15.75" customHeight="1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</row>
    <row r="182" ht="15.75" customHeight="1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</row>
    <row r="183" ht="15.75" customHeight="1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</row>
    <row r="184" ht="15.75" customHeight="1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</row>
    <row r="185" ht="15.75" customHeight="1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</row>
    <row r="186" ht="15.75" customHeight="1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</row>
    <row r="187" ht="15.75" customHeight="1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ht="15.75" customHeight="1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</row>
    <row r="189" ht="15.75" customHeight="1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</row>
    <row r="190" ht="15.75" customHeight="1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</row>
    <row r="191" ht="15.75" customHeight="1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</row>
    <row r="192" ht="15.75" customHeight="1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</row>
    <row r="193" ht="15.75" customHeight="1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</row>
    <row r="194" ht="15.75" customHeight="1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</row>
    <row r="195" ht="15.75" customHeight="1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</row>
    <row r="196" ht="15.75" customHeight="1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</row>
    <row r="197" ht="15.75" customHeight="1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</row>
    <row r="198" ht="15.75" customHeight="1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</row>
    <row r="199" ht="15.75" customHeight="1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</row>
    <row r="200" ht="15.75" customHeight="1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</row>
    <row r="201" ht="15.75" customHeight="1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</row>
    <row r="202" ht="15.75" customHeight="1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</row>
    <row r="203" ht="15.75" customHeight="1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</row>
    <row r="204" ht="15.75" customHeight="1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</row>
    <row r="205" ht="15.75" customHeight="1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</row>
    <row r="206" ht="15.75" customHeight="1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</row>
    <row r="207" ht="15.75" customHeight="1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</row>
    <row r="208" ht="15.75" customHeight="1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</row>
    <row r="209" ht="15.75" customHeight="1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</row>
    <row r="210" ht="15.75" customHeight="1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</row>
    <row r="211" ht="15.75" customHeight="1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</row>
    <row r="212" ht="15.75" customHeight="1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</row>
    <row r="213" ht="15.75" customHeight="1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</row>
    <row r="214" ht="15.75" customHeight="1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</row>
    <row r="215" ht="15.75" customHeight="1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</row>
    <row r="216" ht="15.75" customHeight="1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</row>
    <row r="217" ht="15.75" customHeight="1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</row>
    <row r="218" ht="15.75" customHeight="1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</row>
    <row r="219" ht="15.75" customHeight="1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</row>
    <row r="220" ht="15.75" customHeight="1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</row>
    <row r="221" ht="15.75" customHeight="1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</row>
    <row r="222" ht="15.75" customHeight="1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</row>
    <row r="223" ht="15.75" customHeight="1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</row>
    <row r="224" ht="15.75" customHeight="1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</row>
    <row r="225" ht="15.75" customHeight="1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</row>
    <row r="226" ht="15.75" customHeight="1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</row>
    <row r="227" ht="15.75" customHeight="1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</row>
    <row r="228" ht="15.75" customHeight="1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</row>
    <row r="229" ht="15.75" customHeight="1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</row>
    <row r="230" ht="15.75" customHeight="1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</row>
    <row r="231" ht="15.75" customHeight="1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</row>
    <row r="232" ht="15.75" customHeight="1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</row>
    <row r="233" ht="15.75" customHeight="1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</row>
    <row r="234" ht="15.75" customHeight="1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</row>
    <row r="235" ht="15.75" customHeight="1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</row>
    <row r="236" ht="15.75" customHeight="1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</row>
    <row r="237" ht="15.75" customHeight="1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</row>
    <row r="238" ht="15.75" customHeight="1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</row>
    <row r="239" ht="15.75" customHeight="1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</row>
    <row r="240" ht="15.75" customHeight="1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</row>
    <row r="241" ht="15.75" customHeight="1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</row>
    <row r="242" ht="15.75" customHeight="1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</row>
    <row r="243" ht="15.75" customHeight="1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</row>
    <row r="244" ht="15.75" customHeight="1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</row>
    <row r="245" ht="15.75" customHeight="1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</row>
    <row r="246" ht="15.75" customHeight="1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</row>
    <row r="247" ht="15.75" customHeight="1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</row>
    <row r="248" ht="15.75" customHeight="1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</row>
    <row r="249" ht="15.75" customHeight="1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</row>
    <row r="250" ht="15.75" customHeight="1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</row>
    <row r="251" ht="15.75" customHeight="1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</row>
    <row r="252" ht="15.75" customHeight="1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</row>
    <row r="253" ht="15.75" customHeight="1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</row>
    <row r="254" ht="15.75" customHeight="1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</row>
    <row r="255" ht="15.75" customHeight="1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</row>
    <row r="256" ht="15.75" customHeight="1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</row>
    <row r="257" ht="15.75" customHeight="1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</row>
    <row r="258" ht="15.75" customHeight="1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</row>
    <row r="259" ht="15.75" customHeight="1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</row>
    <row r="260" ht="15.75" customHeight="1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</row>
    <row r="261" ht="15.75" customHeight="1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</row>
    <row r="262" ht="15.75" customHeight="1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</row>
    <row r="263" ht="15.75" customHeight="1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</row>
    <row r="264" ht="15.75" customHeight="1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</row>
    <row r="265" ht="15.75" customHeight="1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</row>
    <row r="266" ht="15.75" customHeight="1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</row>
    <row r="267" ht="15.75" customHeight="1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</row>
    <row r="268" ht="15.75" customHeight="1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</row>
    <row r="269" ht="15.75" customHeight="1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</row>
    <row r="270" ht="15.75" customHeight="1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</row>
    <row r="271" ht="15.75" customHeight="1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</row>
    <row r="272" ht="15.75" customHeight="1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</row>
    <row r="273" ht="15.75" customHeight="1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</row>
    <row r="274" ht="15.75" customHeight="1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</row>
    <row r="275" ht="15.75" customHeight="1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</row>
    <row r="276" ht="15.75" customHeight="1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</row>
    <row r="277" ht="15.75" customHeight="1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</row>
    <row r="278" ht="15.75" customHeight="1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</row>
    <row r="279" ht="15.75" customHeight="1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</row>
    <row r="280" ht="15.75" customHeight="1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</row>
    <row r="281" ht="15.75" customHeight="1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</row>
    <row r="282" ht="15.75" customHeight="1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</row>
    <row r="283" ht="15.75" customHeight="1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</row>
    <row r="284" ht="15.75" customHeight="1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</row>
    <row r="285" ht="15.75" customHeight="1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</row>
    <row r="286" ht="15.75" customHeight="1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</row>
    <row r="287" ht="15.75" customHeight="1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</row>
    <row r="288" ht="15.75" customHeight="1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</row>
    <row r="289" ht="15.75" customHeight="1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</row>
    <row r="290" ht="15.75" customHeight="1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</row>
    <row r="291" ht="15.75" customHeight="1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</row>
    <row r="292" ht="15.75" customHeight="1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</row>
    <row r="293" ht="15.75" customHeight="1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</row>
    <row r="294" ht="15.75" customHeight="1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</row>
    <row r="295" ht="15.75" customHeight="1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</row>
    <row r="296" ht="15.75" customHeight="1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</row>
    <row r="297" ht="15.75" customHeight="1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</row>
    <row r="298" ht="15.75" customHeight="1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</row>
    <row r="299" ht="15.75" customHeight="1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</row>
    <row r="300" ht="15.75" customHeight="1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</row>
    <row r="301" ht="15.75" customHeight="1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</row>
    <row r="302" ht="15.75" customHeight="1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</row>
    <row r="303" ht="15.75" customHeight="1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</row>
    <row r="304" ht="15.75" customHeight="1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</row>
    <row r="305" ht="15.75" customHeight="1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</row>
    <row r="306" ht="15.75" customHeight="1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</row>
    <row r="307" ht="15.75" customHeight="1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</row>
    <row r="308" ht="15.75" customHeight="1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</row>
    <row r="309" ht="15.75" customHeight="1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</row>
    <row r="310" ht="15.75" customHeight="1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</row>
    <row r="311" ht="15.75" customHeight="1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</row>
    <row r="312" ht="15.75" customHeight="1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</row>
    <row r="313" ht="15.75" customHeight="1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</row>
    <row r="314" ht="15.75" customHeight="1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</row>
    <row r="315" ht="15.75" customHeight="1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</row>
    <row r="316" ht="15.75" customHeight="1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</row>
    <row r="317" ht="15.75" customHeight="1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</row>
    <row r="318" ht="15.75" customHeight="1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</row>
    <row r="319" ht="15.75" customHeight="1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</row>
    <row r="320" ht="15.75" customHeight="1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</row>
    <row r="321" ht="15.75" customHeight="1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</row>
    <row r="322" ht="15.75" customHeight="1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</row>
    <row r="323" ht="15.75" customHeight="1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</row>
    <row r="324" ht="15.75" customHeight="1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</row>
    <row r="325" ht="15.75" customHeight="1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</row>
    <row r="326" ht="15.75" customHeight="1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</row>
    <row r="327" ht="15.75" customHeight="1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</row>
    <row r="328" ht="15.75" customHeight="1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</row>
    <row r="329" ht="15.75" customHeight="1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</row>
    <row r="330" ht="15.75" customHeight="1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</row>
    <row r="331" ht="15.75" customHeight="1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</row>
    <row r="332" ht="15.75" customHeight="1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</row>
    <row r="333" ht="15.75" customHeight="1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</row>
    <row r="334" ht="15.75" customHeight="1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</row>
    <row r="335" ht="15.75" customHeight="1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</row>
    <row r="336" ht="15.75" customHeight="1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</row>
    <row r="337" ht="15.75" customHeight="1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</row>
    <row r="338" ht="15.75" customHeight="1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</row>
    <row r="339" ht="15.75" customHeight="1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</row>
    <row r="340" ht="15.75" customHeight="1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</row>
    <row r="341" ht="15.75" customHeight="1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</row>
    <row r="342" ht="15.75" customHeight="1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</row>
    <row r="343" ht="15.75" customHeight="1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</row>
    <row r="344" ht="15.75" customHeight="1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</row>
    <row r="345" ht="15.75" customHeight="1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</row>
    <row r="346" ht="15.75" customHeight="1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</row>
    <row r="347" ht="15.75" customHeight="1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</row>
    <row r="348" ht="15.75" customHeight="1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</row>
    <row r="349" ht="15.75" customHeight="1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</row>
    <row r="350" ht="15.75" customHeight="1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</row>
    <row r="351" ht="15.75" customHeight="1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</row>
    <row r="352" ht="15.75" customHeight="1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</row>
    <row r="353" ht="15.75" customHeight="1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</row>
    <row r="354" ht="15.75" customHeight="1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</row>
    <row r="355" ht="15.75" customHeight="1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</row>
    <row r="356" ht="15.75" customHeight="1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</row>
    <row r="357" ht="15.75" customHeight="1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</row>
    <row r="358" ht="15.75" customHeight="1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</row>
    <row r="359" ht="15.75" customHeight="1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</row>
    <row r="360" ht="15.75" customHeight="1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</row>
    <row r="361" ht="15.75" customHeight="1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</row>
    <row r="362" ht="15.75" customHeight="1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</row>
    <row r="363" ht="15.75" customHeight="1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</row>
    <row r="364" ht="15.75" customHeight="1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</row>
    <row r="365" ht="15.75" customHeight="1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</row>
    <row r="366" ht="15.75" customHeight="1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</row>
    <row r="367" ht="15.75" customHeight="1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</row>
    <row r="368" ht="15.75" customHeight="1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</row>
    <row r="369" ht="15.75" customHeight="1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</row>
    <row r="370" ht="15.75" customHeight="1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</row>
    <row r="371" ht="15.75" customHeight="1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</row>
    <row r="372" ht="15.75" customHeight="1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</row>
    <row r="373" ht="15.75" customHeight="1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</row>
    <row r="374" ht="15.75" customHeight="1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</row>
    <row r="375" ht="15.75" customHeight="1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</row>
    <row r="376" ht="15.75" customHeight="1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</row>
    <row r="377" ht="15.75" customHeight="1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</row>
    <row r="378" ht="15.75" customHeight="1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</row>
    <row r="379" ht="15.75" customHeight="1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</row>
    <row r="380" ht="15.75" customHeight="1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</row>
    <row r="381" ht="15.75" customHeight="1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</row>
    <row r="382" ht="15.75" customHeight="1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</row>
    <row r="383" ht="15.75" customHeight="1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</row>
    <row r="384" ht="15.75" customHeight="1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</row>
    <row r="385" ht="15.75" customHeight="1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</row>
    <row r="386" ht="15.75" customHeight="1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</row>
    <row r="387" ht="15.75" customHeight="1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</row>
    <row r="388" ht="15.75" customHeight="1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</row>
    <row r="389" ht="15.75" customHeight="1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</row>
    <row r="390" ht="15.75" customHeight="1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</row>
    <row r="391" ht="15.75" customHeight="1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</row>
    <row r="392" ht="15.75" customHeight="1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</row>
    <row r="393" ht="15.75" customHeight="1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</row>
    <row r="394" ht="15.75" customHeight="1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</row>
    <row r="395" ht="15.75" customHeight="1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</row>
    <row r="396" ht="15.75" customHeight="1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</row>
    <row r="397" ht="15.75" customHeight="1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</row>
    <row r="398" ht="15.75" customHeight="1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</row>
    <row r="399" ht="15.75" customHeight="1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</row>
    <row r="400" ht="15.75" customHeight="1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</row>
    <row r="401" ht="15.75" customHeight="1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</row>
    <row r="402" ht="15.75" customHeight="1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</row>
    <row r="403" ht="15.75" customHeight="1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</row>
    <row r="404" ht="15.75" customHeight="1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</row>
    <row r="405" ht="15.75" customHeight="1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</row>
    <row r="406" ht="15.75" customHeight="1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</row>
    <row r="407" ht="15.75" customHeight="1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</row>
    <row r="408" ht="15.75" customHeight="1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</row>
    <row r="409" ht="15.75" customHeight="1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</row>
    <row r="410" ht="15.75" customHeight="1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</row>
    <row r="411" ht="15.75" customHeight="1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</row>
    <row r="412" ht="15.75" customHeight="1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</row>
    <row r="413" ht="15.75" customHeight="1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</row>
    <row r="414" ht="15.75" customHeight="1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</row>
    <row r="415" ht="15.75" customHeight="1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</row>
    <row r="416" ht="15.75" customHeight="1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</row>
    <row r="417" ht="15.75" customHeight="1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</row>
    <row r="418" ht="15.75" customHeight="1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</row>
    <row r="419" ht="15.75" customHeight="1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</row>
    <row r="420" ht="15.75" customHeight="1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</row>
    <row r="421" ht="15.75" customHeight="1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</row>
    <row r="422" ht="15.75" customHeight="1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</row>
    <row r="423" ht="15.75" customHeight="1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</row>
    <row r="424" ht="15.75" customHeight="1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</row>
    <row r="425" ht="15.75" customHeight="1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</row>
    <row r="426" ht="15.75" customHeight="1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</row>
    <row r="427" ht="15.75" customHeight="1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</row>
    <row r="428" ht="15.75" customHeight="1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</row>
    <row r="429" ht="15.75" customHeight="1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</row>
    <row r="430" ht="15.75" customHeight="1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</row>
    <row r="431" ht="15.75" customHeight="1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</row>
    <row r="432" ht="15.75" customHeight="1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</row>
    <row r="433" ht="15.75" customHeight="1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</row>
    <row r="434" ht="15.75" customHeight="1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</row>
    <row r="435" ht="15.75" customHeight="1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</row>
    <row r="436" ht="15.75" customHeight="1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</row>
    <row r="437" ht="15.75" customHeight="1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</row>
    <row r="438" ht="15.75" customHeight="1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</row>
    <row r="439" ht="15.75" customHeight="1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</row>
    <row r="440" ht="15.75" customHeight="1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</row>
    <row r="441" ht="15.75" customHeight="1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</row>
    <row r="442" ht="15.75" customHeight="1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</row>
    <row r="443" ht="15.75" customHeight="1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</row>
    <row r="444" ht="15.75" customHeight="1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</row>
    <row r="445" ht="15.75" customHeight="1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</row>
    <row r="446" ht="15.75" customHeight="1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</row>
    <row r="447" ht="15.75" customHeight="1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</row>
    <row r="448" ht="15.75" customHeight="1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</row>
    <row r="449" ht="15.75" customHeight="1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</row>
    <row r="450" ht="15.75" customHeight="1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</row>
    <row r="451" ht="15.75" customHeight="1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</row>
    <row r="452" ht="15.75" customHeight="1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</row>
    <row r="453" ht="15.75" customHeight="1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</row>
    <row r="454" ht="15.75" customHeight="1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</row>
    <row r="455" ht="15.75" customHeight="1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</row>
    <row r="456" ht="15.75" customHeight="1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</row>
    <row r="457" ht="15.75" customHeight="1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</row>
    <row r="458" ht="15.75" customHeight="1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</row>
    <row r="459" ht="15.75" customHeight="1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</row>
    <row r="460" ht="15.75" customHeight="1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</row>
    <row r="461" ht="15.75" customHeight="1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</row>
    <row r="462" ht="15.75" customHeight="1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</row>
    <row r="463" ht="15.75" customHeight="1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</row>
    <row r="464" ht="15.75" customHeight="1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</row>
    <row r="465" ht="15.75" customHeight="1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</row>
    <row r="466" ht="15.75" customHeight="1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</row>
    <row r="467" ht="15.75" customHeight="1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</row>
    <row r="468" ht="15.75" customHeight="1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</row>
    <row r="469" ht="15.75" customHeight="1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</row>
    <row r="470" ht="15.75" customHeight="1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</row>
    <row r="471" ht="15.75" customHeight="1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</row>
    <row r="472" ht="15.75" customHeight="1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</row>
    <row r="473" ht="15.75" customHeight="1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</row>
    <row r="474" ht="15.75" customHeight="1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</row>
    <row r="475" ht="15.75" customHeight="1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</row>
    <row r="476" ht="15.75" customHeight="1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</row>
    <row r="477" ht="15.75" customHeight="1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</row>
    <row r="478" ht="15.75" customHeight="1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</row>
    <row r="479" ht="15.75" customHeight="1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</row>
    <row r="480" ht="15.75" customHeight="1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</row>
    <row r="481" ht="15.75" customHeight="1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</row>
    <row r="482" ht="15.75" customHeight="1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</row>
    <row r="483" ht="15.75" customHeight="1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</row>
    <row r="484" ht="15.75" customHeight="1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</row>
    <row r="485" ht="15.75" customHeight="1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</row>
    <row r="486" ht="15.75" customHeight="1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</row>
    <row r="487" ht="15.75" customHeight="1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</row>
    <row r="488" ht="15.75" customHeight="1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</row>
    <row r="489" ht="15.75" customHeight="1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</row>
    <row r="490" ht="15.75" customHeight="1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</row>
    <row r="491" ht="15.75" customHeight="1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</row>
    <row r="492" ht="15.75" customHeight="1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</row>
    <row r="493" ht="15.75" customHeight="1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</row>
    <row r="494" ht="15.75" customHeight="1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</row>
    <row r="495" ht="15.75" customHeight="1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</row>
    <row r="496" ht="15.75" customHeight="1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</row>
    <row r="497" ht="15.75" customHeight="1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</row>
    <row r="498" ht="15.75" customHeight="1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</row>
    <row r="499" ht="15.75" customHeight="1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</row>
    <row r="500" ht="15.75" customHeight="1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</row>
    <row r="501" ht="15.75" customHeight="1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</row>
    <row r="502" ht="15.75" customHeight="1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</row>
    <row r="503" ht="15.75" customHeight="1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</row>
    <row r="504" ht="15.75" customHeight="1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</row>
    <row r="505" ht="15.75" customHeight="1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</row>
    <row r="506" ht="15.75" customHeight="1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</row>
    <row r="507" ht="15.75" customHeight="1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</row>
    <row r="508" ht="15.75" customHeight="1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</row>
    <row r="509" ht="15.75" customHeight="1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</row>
    <row r="510" ht="15.75" customHeight="1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</row>
    <row r="511" ht="15.75" customHeight="1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</row>
    <row r="512" ht="15.75" customHeight="1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</row>
    <row r="513" ht="15.75" customHeight="1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</row>
    <row r="514" ht="15.75" customHeight="1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</row>
    <row r="515" ht="15.75" customHeight="1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</row>
    <row r="516" ht="15.75" customHeight="1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</row>
    <row r="517" ht="15.75" customHeight="1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</row>
    <row r="518" ht="15.75" customHeight="1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</row>
    <row r="519" ht="15.75" customHeight="1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</row>
    <row r="520" ht="15.75" customHeight="1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</row>
    <row r="521" ht="15.75" customHeight="1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</row>
    <row r="522" ht="15.75" customHeight="1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</row>
    <row r="523" ht="15.75" customHeight="1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</row>
    <row r="524" ht="15.75" customHeight="1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</row>
    <row r="525" ht="15.75" customHeight="1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</row>
    <row r="526" ht="15.75" customHeight="1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</row>
    <row r="527" ht="15.75" customHeight="1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</row>
    <row r="528" ht="15.75" customHeight="1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</row>
    <row r="529" ht="15.75" customHeight="1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</row>
    <row r="530" ht="15.75" customHeight="1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</row>
    <row r="531" ht="15.75" customHeight="1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</row>
    <row r="532" ht="15.75" customHeight="1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</row>
    <row r="533" ht="15.75" customHeight="1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</row>
    <row r="534" ht="15.75" customHeight="1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</row>
    <row r="535" ht="15.75" customHeight="1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</row>
    <row r="536" ht="15.75" customHeight="1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</row>
    <row r="537" ht="15.75" customHeight="1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</row>
    <row r="538" ht="15.75" customHeight="1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</row>
    <row r="539" ht="15.75" customHeight="1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</row>
    <row r="540" ht="15.75" customHeight="1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</row>
    <row r="541" ht="15.75" customHeight="1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</row>
    <row r="542" ht="15.75" customHeight="1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</row>
    <row r="543" ht="15.75" customHeight="1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</row>
    <row r="544" ht="15.75" customHeight="1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</row>
    <row r="545" ht="15.75" customHeight="1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</row>
    <row r="546" ht="15.75" customHeight="1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</row>
    <row r="547" ht="15.75" customHeight="1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</row>
    <row r="548" ht="15.75" customHeight="1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</row>
    <row r="549" ht="15.75" customHeight="1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</row>
    <row r="550" ht="15.75" customHeight="1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</row>
    <row r="551" ht="15.75" customHeight="1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</row>
    <row r="552" ht="15.75" customHeight="1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</row>
    <row r="553" ht="15.75" customHeight="1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</row>
    <row r="554" ht="15.75" customHeight="1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</row>
    <row r="555" ht="15.75" customHeight="1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</row>
    <row r="556" ht="15.75" customHeight="1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</row>
    <row r="557" ht="15.75" customHeight="1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</row>
    <row r="558" ht="15.75" customHeight="1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</row>
    <row r="559" ht="15.75" customHeight="1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</row>
    <row r="560" ht="15.75" customHeight="1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</row>
    <row r="561" ht="15.75" customHeight="1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</row>
    <row r="562" ht="15.75" customHeight="1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</row>
    <row r="563" ht="15.75" customHeight="1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</row>
    <row r="564" ht="15.75" customHeight="1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</row>
    <row r="565" ht="15.75" customHeight="1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</row>
    <row r="566" ht="15.75" customHeight="1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</row>
    <row r="567" ht="15.75" customHeight="1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</row>
    <row r="568" ht="15.75" customHeight="1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</row>
    <row r="569" ht="15.75" customHeight="1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</row>
    <row r="570" ht="15.75" customHeight="1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</row>
    <row r="571" ht="15.75" customHeight="1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</row>
    <row r="572" ht="15.75" customHeight="1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</row>
    <row r="573" ht="15.75" customHeight="1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</row>
    <row r="574" ht="15.75" customHeight="1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</row>
    <row r="575" ht="15.75" customHeight="1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</row>
    <row r="576" ht="15.75" customHeight="1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</row>
    <row r="577" ht="15.75" customHeight="1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</row>
    <row r="578" ht="15.75" customHeight="1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</row>
    <row r="579" ht="15.75" customHeight="1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</row>
    <row r="580" ht="15.75" customHeight="1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</row>
    <row r="581" ht="15.75" customHeight="1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</row>
    <row r="582" ht="15.75" customHeight="1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</row>
    <row r="583" ht="15.75" customHeight="1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</row>
    <row r="584" ht="15.75" customHeight="1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</row>
    <row r="585" ht="15.75" customHeight="1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</row>
    <row r="586" ht="15.75" customHeight="1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</row>
    <row r="587" ht="15.75" customHeight="1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</row>
    <row r="588" ht="15.75" customHeight="1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</row>
    <row r="589" ht="15.75" customHeight="1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</row>
    <row r="590" ht="15.75" customHeight="1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</row>
    <row r="591" ht="15.75" customHeight="1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</row>
    <row r="592" ht="15.75" customHeight="1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</row>
    <row r="593" ht="15.75" customHeight="1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</row>
    <row r="594" ht="15.75" customHeight="1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</row>
    <row r="595" ht="15.75" customHeight="1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</row>
    <row r="596" ht="15.75" customHeight="1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</row>
    <row r="597" ht="15.75" customHeight="1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</row>
    <row r="598" ht="15.75" customHeight="1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</row>
    <row r="599" ht="15.75" customHeight="1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</row>
    <row r="600" ht="15.75" customHeight="1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</row>
    <row r="601" ht="15.75" customHeight="1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</row>
    <row r="602" ht="15.75" customHeight="1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</row>
    <row r="603" ht="15.75" customHeight="1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</row>
    <row r="604" ht="15.75" customHeight="1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</row>
    <row r="605" ht="15.75" customHeight="1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</row>
    <row r="606" ht="15.75" customHeight="1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</row>
    <row r="607" ht="15.75" customHeight="1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</row>
    <row r="608" ht="15.7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</row>
    <row r="609" ht="15.7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</row>
    <row r="610" ht="15.7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</row>
    <row r="611" ht="15.7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</row>
    <row r="612" ht="15.7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</row>
    <row r="613" ht="15.7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</row>
    <row r="614" ht="15.7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</row>
    <row r="615" ht="15.7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</row>
    <row r="616" ht="15.7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</row>
    <row r="617" ht="15.7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</row>
    <row r="618" ht="15.7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</row>
    <row r="619" ht="15.7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</row>
    <row r="620" ht="15.7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</row>
    <row r="621" ht="15.7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</row>
    <row r="622" ht="15.7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</row>
    <row r="623" ht="15.7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</row>
    <row r="624" ht="15.7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</row>
    <row r="625" ht="15.7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</row>
    <row r="626" ht="15.7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</row>
    <row r="627" ht="15.7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</row>
    <row r="628" ht="15.7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</row>
    <row r="629" ht="15.7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</row>
    <row r="630" ht="15.7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</row>
    <row r="631" ht="15.7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</row>
    <row r="632" ht="15.7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</row>
    <row r="633" ht="15.7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</row>
    <row r="634" ht="15.7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</row>
    <row r="635" ht="15.7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</row>
    <row r="636" ht="15.7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</row>
    <row r="637" ht="15.7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</row>
    <row r="638" ht="15.7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</row>
    <row r="639" ht="15.7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</row>
    <row r="640" ht="15.7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</row>
    <row r="641" ht="15.7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</row>
    <row r="642" ht="15.7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</row>
    <row r="643" ht="15.7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</row>
    <row r="644" ht="15.7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</row>
    <row r="645" ht="15.7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</row>
    <row r="646" ht="15.7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</row>
    <row r="647" ht="15.7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</row>
    <row r="648" ht="15.7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</row>
    <row r="649" ht="15.7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</row>
    <row r="650" ht="15.7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</row>
    <row r="651" ht="15.7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</row>
    <row r="652" ht="15.7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</row>
    <row r="653" ht="15.7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</row>
    <row r="654" ht="15.7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</row>
    <row r="655" ht="15.7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</row>
    <row r="656" ht="15.7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</row>
    <row r="657" ht="15.7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</row>
    <row r="658" ht="15.7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</row>
    <row r="659" ht="15.7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</row>
    <row r="660" ht="15.7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</row>
    <row r="661" ht="15.7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</row>
    <row r="662" ht="15.7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</row>
    <row r="663" ht="15.7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</row>
    <row r="664" ht="15.7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</row>
    <row r="665" ht="15.7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</row>
    <row r="666" ht="15.7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</row>
    <row r="667" ht="15.7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</row>
    <row r="668" ht="15.7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</row>
    <row r="669" ht="15.7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</row>
    <row r="670" ht="15.7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</row>
    <row r="671" ht="15.7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</row>
    <row r="672" ht="15.7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</row>
    <row r="673" ht="15.7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</row>
    <row r="674" ht="15.7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</row>
    <row r="675" ht="15.7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</row>
    <row r="676" ht="15.7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</row>
    <row r="677" ht="15.7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</row>
    <row r="678" ht="15.7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</row>
    <row r="679" ht="15.7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</row>
    <row r="680" ht="15.7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</row>
    <row r="681" ht="15.7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</row>
    <row r="682" ht="15.7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</row>
    <row r="683" ht="15.7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</row>
    <row r="684" ht="15.7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</row>
    <row r="685" ht="15.7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</row>
    <row r="686" ht="15.7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</row>
    <row r="687" ht="15.7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</row>
    <row r="688" ht="15.7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</row>
    <row r="689" ht="15.7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</row>
    <row r="690" ht="15.7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</row>
    <row r="691" ht="15.7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</row>
    <row r="692" ht="15.7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</row>
    <row r="693" ht="15.7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</row>
    <row r="694" ht="15.7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</row>
    <row r="695" ht="15.7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</row>
    <row r="696" ht="15.7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</row>
    <row r="697" ht="15.7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</row>
    <row r="698" ht="15.7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</row>
    <row r="699" ht="15.7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</row>
    <row r="700" ht="15.7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</row>
    <row r="701" ht="15.7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</row>
    <row r="702" ht="15.7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</row>
    <row r="703" ht="15.7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</row>
    <row r="704" ht="15.7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</row>
    <row r="705" ht="15.7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</row>
    <row r="706" ht="15.7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</row>
    <row r="707" ht="15.7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</row>
    <row r="708" ht="15.7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</row>
    <row r="709" ht="15.7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</row>
    <row r="710" ht="15.7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</row>
    <row r="711" ht="15.7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</row>
    <row r="712" ht="15.7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</row>
    <row r="713" ht="15.7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</row>
    <row r="714" ht="15.7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</row>
    <row r="715" ht="15.7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</row>
    <row r="716" ht="15.7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</row>
    <row r="717" ht="15.7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</row>
    <row r="718" ht="15.7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</row>
    <row r="719" ht="15.7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</row>
    <row r="720" ht="15.7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</row>
    <row r="721" ht="15.7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</row>
    <row r="722" ht="15.7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</row>
    <row r="723" ht="15.7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</row>
    <row r="724" ht="15.7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</row>
    <row r="725" ht="15.7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</row>
    <row r="726" ht="15.7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</row>
    <row r="727" ht="15.7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</row>
    <row r="728" ht="15.7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</row>
    <row r="729" ht="15.7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</row>
    <row r="730" ht="15.7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</row>
    <row r="731" ht="15.7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</row>
    <row r="732" ht="15.7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</row>
    <row r="733" ht="15.7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</row>
    <row r="734" ht="15.7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</row>
    <row r="735" ht="15.7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</row>
    <row r="736" ht="15.7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</row>
    <row r="737" ht="15.7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</row>
    <row r="738" ht="15.7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</row>
    <row r="739" ht="15.7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</row>
    <row r="740" ht="15.7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</row>
    <row r="741" ht="15.7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</row>
    <row r="742" ht="15.7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</row>
    <row r="743" ht="15.7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</row>
    <row r="744" ht="15.7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</row>
    <row r="745" ht="15.7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</row>
    <row r="746" ht="15.7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</row>
    <row r="747" ht="15.7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</row>
    <row r="748" ht="15.7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</row>
    <row r="749" ht="15.7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</row>
    <row r="750" ht="15.7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</row>
    <row r="751" ht="15.7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</row>
    <row r="752" ht="15.7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</row>
    <row r="753" ht="15.7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</row>
    <row r="754" ht="15.7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</row>
    <row r="755" ht="15.7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</row>
    <row r="756" ht="15.7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</row>
    <row r="757" ht="15.7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</row>
    <row r="758" ht="15.7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</row>
    <row r="759" ht="15.7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</row>
    <row r="760" ht="15.7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</row>
    <row r="761" ht="15.7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</row>
    <row r="762" ht="15.7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</row>
    <row r="763" ht="15.7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</row>
    <row r="764" ht="15.7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</row>
    <row r="765" ht="15.7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</row>
    <row r="766" ht="15.7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</row>
    <row r="767" ht="15.7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</row>
    <row r="768" ht="15.7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</row>
    <row r="769" ht="15.7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</row>
    <row r="770" ht="15.7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</row>
    <row r="771" ht="15.7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</row>
    <row r="772" ht="15.7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</row>
    <row r="773" ht="15.7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</row>
    <row r="774" ht="15.7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</row>
    <row r="775" ht="15.7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</row>
    <row r="776" ht="15.7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</row>
    <row r="777" ht="15.7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</row>
    <row r="778" ht="15.7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</row>
    <row r="779" ht="15.7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</row>
    <row r="780" ht="15.7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</row>
    <row r="781" ht="15.7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</row>
    <row r="782" ht="15.7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</row>
    <row r="783" ht="15.7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</row>
    <row r="784" ht="15.7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</row>
    <row r="785" ht="15.7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</row>
    <row r="786" ht="15.7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</row>
    <row r="787" ht="15.7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</row>
    <row r="788" ht="15.7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</row>
    <row r="789" ht="15.7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</row>
    <row r="790" ht="15.7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</row>
    <row r="791" ht="15.7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</row>
    <row r="792" ht="15.7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</row>
    <row r="793" ht="15.75" customHeight="1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</row>
    <row r="794" ht="15.75" customHeight="1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</row>
    <row r="795" ht="15.75" customHeight="1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</row>
    <row r="796" ht="15.75" customHeight="1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</row>
    <row r="797" ht="15.75" customHeight="1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</row>
    <row r="798" ht="15.75" customHeight="1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</row>
    <row r="799" ht="15.75" customHeight="1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</row>
    <row r="800" ht="15.75" customHeight="1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</row>
    <row r="801" ht="15.75" customHeight="1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</row>
    <row r="802" ht="15.75" customHeight="1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</row>
    <row r="803" ht="15.75" customHeight="1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</row>
    <row r="804" ht="15.75" customHeight="1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</row>
    <row r="805" ht="15.75" customHeight="1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</row>
    <row r="806" ht="15.75" customHeight="1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</row>
    <row r="807" ht="15.75" customHeight="1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</row>
    <row r="808" ht="15.75" customHeight="1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</row>
    <row r="809" ht="15.75" customHeight="1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</row>
    <row r="810" ht="15.75" customHeight="1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</row>
    <row r="811" ht="15.75" customHeight="1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</row>
    <row r="812" ht="15.75" customHeight="1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</row>
    <row r="813" ht="15.75" customHeight="1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</row>
    <row r="814" ht="15.75" customHeight="1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</row>
    <row r="815" ht="15.75" customHeight="1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</row>
    <row r="816" ht="15.75" customHeight="1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</row>
    <row r="817" ht="15.75" customHeight="1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</row>
    <row r="818" ht="15.75" customHeight="1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</row>
    <row r="819" ht="15.75" customHeight="1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</row>
    <row r="820" ht="15.75" customHeight="1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</row>
    <row r="821" ht="15.75" customHeight="1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</row>
    <row r="822" ht="15.75" customHeight="1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</row>
    <row r="823" ht="15.75" customHeight="1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</row>
    <row r="824" ht="15.75" customHeight="1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</row>
    <row r="825" ht="15.75" customHeight="1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</row>
    <row r="826" ht="15.75" customHeight="1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</row>
    <row r="827" ht="15.75" customHeight="1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</row>
    <row r="828" ht="15.75" customHeight="1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</row>
    <row r="829" ht="15.75" customHeight="1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</row>
    <row r="830" ht="15.75" customHeight="1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</row>
    <row r="831" ht="15.75" customHeight="1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</row>
    <row r="832" ht="15.75" customHeight="1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</row>
    <row r="833" ht="15.75" customHeight="1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</row>
    <row r="834" ht="15.75" customHeight="1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</row>
    <row r="835" ht="15.75" customHeight="1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</row>
    <row r="836" ht="15.75" customHeight="1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</row>
    <row r="837" ht="15.75" customHeight="1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</row>
    <row r="838" ht="15.75" customHeight="1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</row>
    <row r="839" ht="15.75" customHeight="1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</row>
    <row r="840" ht="15.75" customHeight="1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</row>
    <row r="841" ht="15.75" customHeight="1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</row>
    <row r="842" ht="15.75" customHeight="1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</row>
    <row r="843" ht="15.75" customHeight="1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</row>
    <row r="844" ht="15.75" customHeight="1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</row>
    <row r="845" ht="15.75" customHeight="1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</row>
    <row r="846" ht="15.75" customHeight="1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</row>
    <row r="847" ht="15.75" customHeight="1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</row>
    <row r="848" ht="15.75" customHeight="1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</row>
    <row r="849" ht="15.75" customHeight="1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</row>
    <row r="850" ht="15.75" customHeight="1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</row>
    <row r="851" ht="15.75" customHeight="1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</row>
    <row r="852" ht="15.75" customHeight="1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</row>
    <row r="853" ht="15.75" customHeight="1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</row>
    <row r="854" ht="15.75" customHeight="1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</row>
    <row r="855" ht="15.75" customHeight="1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</row>
    <row r="856" ht="15.75" customHeight="1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</row>
    <row r="857" ht="15.75" customHeight="1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</row>
    <row r="858" ht="15.75" customHeight="1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</row>
    <row r="859" ht="15.75" customHeight="1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</row>
    <row r="860" ht="15.75" customHeight="1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</row>
    <row r="861" ht="15.75" customHeight="1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</row>
    <row r="862" ht="15.75" customHeight="1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</row>
    <row r="863" ht="15.75" customHeight="1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</row>
    <row r="864" ht="15.75" customHeight="1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</row>
    <row r="865" ht="15.75" customHeight="1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</row>
    <row r="866" ht="15.75" customHeight="1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</row>
    <row r="867" ht="15.75" customHeight="1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</row>
    <row r="868" ht="15.75" customHeight="1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</row>
    <row r="869" ht="15.75" customHeight="1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</row>
    <row r="870" ht="15.75" customHeight="1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</row>
    <row r="871" ht="15.75" customHeight="1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</row>
    <row r="872" ht="15.75" customHeight="1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</row>
    <row r="873" ht="15.75" customHeight="1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</row>
    <row r="874" ht="15.75" customHeight="1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</row>
    <row r="875" ht="15.75" customHeight="1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</row>
    <row r="876" ht="15.75" customHeight="1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</row>
    <row r="877" ht="15.75" customHeight="1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</row>
    <row r="878" ht="15.75" customHeight="1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</row>
    <row r="879" ht="15.75" customHeight="1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</row>
    <row r="880" ht="15.75" customHeight="1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</row>
    <row r="881" ht="15.75" customHeight="1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</row>
    <row r="882" ht="15.75" customHeight="1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</row>
    <row r="883" ht="15.75" customHeight="1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</row>
    <row r="884" ht="15.75" customHeight="1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</row>
    <row r="885" ht="15.75" customHeight="1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</row>
    <row r="886" ht="15.75" customHeight="1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</row>
    <row r="887" ht="15.75" customHeight="1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</row>
    <row r="888" ht="15.75" customHeight="1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</row>
    <row r="889" ht="15.75" customHeight="1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</row>
    <row r="890" ht="15.75" customHeight="1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</row>
    <row r="891" ht="15.75" customHeight="1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</row>
    <row r="892" ht="15.75" customHeight="1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</row>
    <row r="893" ht="15.75" customHeight="1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</row>
    <row r="894" ht="15.75" customHeight="1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</row>
    <row r="895" ht="15.75" customHeight="1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</row>
    <row r="896" ht="15.75" customHeight="1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</row>
    <row r="897" ht="15.75" customHeight="1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</row>
    <row r="898" ht="15.75" customHeight="1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</row>
    <row r="899" ht="15.75" customHeight="1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</row>
    <row r="900" ht="15.75" customHeight="1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</row>
    <row r="901" ht="15.75" customHeight="1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</row>
    <row r="902" ht="15.75" customHeight="1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</row>
    <row r="903" ht="15.75" customHeight="1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</row>
    <row r="904" ht="15.75" customHeight="1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</row>
    <row r="905" ht="15.75" customHeight="1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</row>
    <row r="906" ht="15.75" customHeight="1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</row>
    <row r="907" ht="15.75" customHeight="1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</row>
    <row r="908" ht="15.75" customHeight="1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</row>
    <row r="909" ht="15.75" customHeight="1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</row>
    <row r="910" ht="15.75" customHeight="1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</row>
    <row r="911" ht="15.75" customHeight="1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</row>
    <row r="912" ht="15.75" customHeight="1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</row>
    <row r="913" ht="15.75" customHeight="1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</row>
    <row r="914" ht="15.75" customHeight="1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</row>
    <row r="915" ht="15.75" customHeight="1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</row>
    <row r="916" ht="15.75" customHeight="1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</row>
    <row r="917" ht="15.75" customHeight="1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</row>
    <row r="918" ht="15.75" customHeight="1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</row>
    <row r="919" ht="15.75" customHeight="1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</row>
    <row r="920" ht="15.75" customHeight="1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</row>
    <row r="921" ht="15.75" customHeight="1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</row>
    <row r="922" ht="15.75" customHeight="1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</row>
    <row r="923" ht="15.75" customHeight="1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</row>
    <row r="924" ht="15.75" customHeight="1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</row>
    <row r="925" ht="15.75" customHeight="1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</row>
    <row r="926" ht="15.75" customHeight="1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</row>
    <row r="927" ht="15.75" customHeight="1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</row>
    <row r="928" ht="15.75" customHeight="1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</row>
    <row r="929" ht="15.75" customHeight="1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</row>
    <row r="930" ht="15.75" customHeight="1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</row>
    <row r="931" ht="15.75" customHeight="1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</row>
    <row r="932" ht="15.75" customHeight="1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</row>
    <row r="933" ht="15.75" customHeight="1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</row>
    <row r="934" ht="15.75" customHeight="1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</row>
    <row r="935" ht="15.75" customHeight="1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</row>
    <row r="936" ht="15.75" customHeight="1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</row>
    <row r="937" ht="15.75" customHeight="1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</row>
    <row r="938" ht="15.75" customHeight="1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</row>
    <row r="939" ht="15.75" customHeight="1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</row>
    <row r="940" ht="15.75" customHeight="1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</row>
    <row r="941" ht="15.75" customHeight="1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</row>
    <row r="942" ht="15.75" customHeight="1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</row>
    <row r="943" ht="15.75" customHeight="1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</row>
    <row r="944" ht="15.75" customHeight="1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</row>
    <row r="945" ht="15.75" customHeight="1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</row>
    <row r="946" ht="15.75" customHeight="1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</row>
    <row r="947" ht="15.75" customHeight="1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</row>
    <row r="948" ht="15.75" customHeight="1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</row>
    <row r="949" ht="15.75" customHeight="1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</row>
    <row r="950" ht="15.75" customHeight="1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</row>
    <row r="951" ht="15.75" customHeight="1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</row>
    <row r="952" ht="15.75" customHeight="1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</row>
    <row r="953" ht="15.75" customHeight="1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</row>
    <row r="954" ht="15.75" customHeight="1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</row>
    <row r="955" ht="15.75" customHeight="1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</row>
    <row r="956" ht="15.75" customHeight="1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</row>
    <row r="957" ht="15.75" customHeight="1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</row>
    <row r="958" ht="15.75" customHeight="1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</row>
    <row r="959" ht="15.75" customHeight="1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</row>
    <row r="960" ht="15.75" customHeight="1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</row>
    <row r="961" ht="15.75" customHeight="1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</row>
    <row r="962" ht="15.75" customHeight="1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</row>
    <row r="963" ht="15.75" customHeight="1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</row>
    <row r="964" ht="15.75" customHeight="1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</row>
    <row r="965" ht="15.75" customHeight="1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</row>
    <row r="966" ht="15.75" customHeight="1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</row>
    <row r="967" ht="15.75" customHeight="1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</row>
    <row r="968" ht="15.75" customHeight="1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</row>
    <row r="969" ht="15.75" customHeight="1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</row>
    <row r="970" ht="15.75" customHeight="1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</row>
    <row r="971" ht="15.75" customHeight="1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</row>
    <row r="972" ht="15.75" customHeight="1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</row>
    <row r="973" ht="15.75" customHeight="1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</row>
    <row r="974" ht="15.75" customHeight="1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</row>
    <row r="975" ht="15.75" customHeight="1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</row>
    <row r="976" ht="15.75" customHeight="1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</row>
    <row r="977" ht="15.75" customHeight="1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</row>
    <row r="978" ht="15.75" customHeight="1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</row>
    <row r="979" ht="15.75" customHeight="1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</row>
    <row r="980" ht="15.75" customHeight="1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</row>
    <row r="981" ht="15.75" customHeight="1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</row>
    <row r="982" ht="15.75" customHeight="1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</row>
    <row r="983" ht="15.75" customHeight="1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</row>
    <row r="984" ht="15.75" customHeight="1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</row>
    <row r="985" ht="15.75" customHeight="1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</row>
    <row r="986" ht="15.75" customHeight="1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</row>
    <row r="987" ht="15.75" customHeight="1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</row>
    <row r="988" ht="15.75" customHeight="1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</row>
    <row r="989" ht="15.75" customHeight="1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</row>
    <row r="990" ht="15.75" customHeight="1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</row>
    <row r="991" ht="15.75" customHeight="1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</row>
    <row r="992" ht="15.75" customHeight="1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</row>
    <row r="993" ht="15.75" customHeight="1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</row>
    <row r="994" ht="15.75" customHeight="1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</row>
    <row r="995" ht="15.75" customHeight="1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</row>
    <row r="996" ht="15.75" customHeight="1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</row>
    <row r="997" ht="15.75" customHeight="1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</row>
    <row r="998" ht="15.75" customHeight="1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</row>
    <row r="999" ht="15.75" customHeight="1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</row>
    <row r="1000" ht="15.75" customHeight="1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</row>
  </sheetData>
  <mergeCells count="14">
    <mergeCell ref="E8:F8"/>
    <mergeCell ref="F16:H16"/>
    <mergeCell ref="A17:A27"/>
    <mergeCell ref="A28:A40"/>
    <mergeCell ref="B28:B40"/>
    <mergeCell ref="A42:A53"/>
    <mergeCell ref="B42:B53"/>
    <mergeCell ref="A1:F2"/>
    <mergeCell ref="D3:F3"/>
    <mergeCell ref="A8:C8"/>
    <mergeCell ref="A9:B9"/>
    <mergeCell ref="A10:B10"/>
    <mergeCell ref="A11:B11"/>
    <mergeCell ref="A12:B12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29"/>
    <col customWidth="1" min="2" max="2" width="11.57"/>
    <col customWidth="1" min="3" max="3" width="5.14"/>
    <col customWidth="1" min="4" max="4" width="6.86"/>
    <col customWidth="1" min="5" max="5" width="11.57"/>
    <col customWidth="1" min="6" max="6" width="46.43"/>
    <col customWidth="1" min="7" max="7" width="5.0"/>
    <col customWidth="1" min="8" max="8" width="4.29"/>
    <col customWidth="1" min="9" max="9" width="6.71"/>
    <col customWidth="1" min="10" max="10" width="11.57"/>
    <col customWidth="1" min="11" max="26" width="8.71"/>
  </cols>
  <sheetData>
    <row r="1" ht="13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212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13.5" customHeight="1">
      <c r="A2" s="213" t="s">
        <v>174</v>
      </c>
      <c r="B2" s="214"/>
      <c r="C2" s="214"/>
      <c r="D2" s="215"/>
      <c r="E2" s="44"/>
      <c r="F2" s="213" t="s">
        <v>175</v>
      </c>
      <c r="G2" s="214"/>
      <c r="H2" s="214"/>
      <c r="I2" s="215"/>
      <c r="J2" s="44"/>
      <c r="K2" s="44"/>
      <c r="L2" s="212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13.5" customHeight="1">
      <c r="A3" s="216"/>
      <c r="D3" s="217"/>
      <c r="E3" s="44"/>
      <c r="F3" s="216"/>
      <c r="I3" s="217"/>
      <c r="J3" s="44"/>
      <c r="K3" s="44"/>
      <c r="L3" s="2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ht="13.5" customHeight="1">
      <c r="A4" s="218" t="s">
        <v>176</v>
      </c>
      <c r="B4" s="219"/>
      <c r="C4" s="219"/>
      <c r="D4" s="220"/>
      <c r="E4" s="221"/>
      <c r="F4" s="44"/>
      <c r="G4" s="44"/>
      <c r="H4" s="44"/>
      <c r="I4" s="44"/>
      <c r="J4" s="44"/>
      <c r="K4" s="44"/>
      <c r="L4" s="212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ht="13.5" customHeight="1">
      <c r="A5" s="222" t="s">
        <v>177</v>
      </c>
      <c r="B5" s="222" t="s">
        <v>178</v>
      </c>
      <c r="C5" s="222" t="s">
        <v>179</v>
      </c>
      <c r="D5" s="223">
        <f>'Dimensionnement Théorique'!J26*10</f>
        <v>98.28687235</v>
      </c>
      <c r="E5" s="221"/>
      <c r="F5" s="224" t="s">
        <v>180</v>
      </c>
      <c r="G5" s="224"/>
      <c r="H5" s="225" t="s">
        <v>106</v>
      </c>
      <c r="I5" s="224">
        <v>0.5</v>
      </c>
      <c r="J5" s="44"/>
      <c r="K5" s="44"/>
      <c r="L5" s="212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ht="13.5" customHeight="1">
      <c r="A6" s="226" t="s">
        <v>181</v>
      </c>
      <c r="B6" s="226" t="str">
        <f>'Dimensionnement Théorique'!D43</f>
        <v>φ</v>
      </c>
      <c r="C6" s="222" t="s">
        <v>182</v>
      </c>
      <c r="D6" s="227">
        <f>RADIANS(D7)</f>
        <v>1.240571156</v>
      </c>
      <c r="E6" s="228"/>
      <c r="F6" s="224" t="s">
        <v>183</v>
      </c>
      <c r="G6" s="224"/>
      <c r="H6" s="225" t="s">
        <v>62</v>
      </c>
      <c r="I6" s="224">
        <v>10.0</v>
      </c>
      <c r="J6" s="229"/>
      <c r="K6" s="44"/>
      <c r="L6" s="212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ht="13.5" customHeight="1">
      <c r="A7" s="230"/>
      <c r="B7" s="230"/>
      <c r="C7" s="222" t="s">
        <v>62</v>
      </c>
      <c r="D7" s="231">
        <f>'Dimensionnement Théorique'!E43</f>
        <v>71.07949142</v>
      </c>
      <c r="E7" s="232"/>
      <c r="F7" s="222" t="s">
        <v>184</v>
      </c>
      <c r="G7" s="222"/>
      <c r="H7" s="222" t="s">
        <v>106</v>
      </c>
      <c r="I7" s="233">
        <f>'Dimensionnement Théorique'!J27</f>
        <v>8.006047876</v>
      </c>
      <c r="J7" s="229">
        <f>I7+2*D16</f>
        <v>15.00604788</v>
      </c>
      <c r="K7" s="44"/>
      <c r="L7" s="212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ht="13.5" customHeight="1">
      <c r="A8" s="222" t="s">
        <v>185</v>
      </c>
      <c r="B8" s="222"/>
      <c r="C8" s="222" t="s">
        <v>106</v>
      </c>
      <c r="D8" s="234">
        <f>D6*'Dimensionnement Théorique'!E41*100</f>
        <v>6.096592942</v>
      </c>
      <c r="E8" s="221"/>
      <c r="F8" s="222" t="s">
        <v>186</v>
      </c>
      <c r="G8" s="222"/>
      <c r="H8" s="235" t="s">
        <v>106</v>
      </c>
      <c r="I8" s="233">
        <f>('Dimensionnement CONDUITE FORCEE'!E23+2*'Dimensionnement CONDUITE FORCEE'!E24+2*I5*10)/10</f>
        <v>13.6</v>
      </c>
      <c r="J8" s="44"/>
      <c r="K8" s="44"/>
      <c r="L8" s="212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13.5" customHeight="1">
      <c r="A9" s="222" t="s">
        <v>187</v>
      </c>
      <c r="B9" s="222" t="s">
        <v>138</v>
      </c>
      <c r="C9" s="222"/>
      <c r="D9" s="231">
        <f>'Dimensionnement Théorique'!J25</f>
        <v>18</v>
      </c>
      <c r="E9" s="221"/>
      <c r="F9" s="222" t="s">
        <v>188</v>
      </c>
      <c r="G9" s="222" t="s">
        <v>189</v>
      </c>
      <c r="H9" s="222" t="s">
        <v>106</v>
      </c>
      <c r="I9" s="233">
        <f>100*TAN(RADIANS('Dimensionnement Théorique'!E9))*RADIANS('Dimensionnement Théorique'!E15)*'Dimensionnement Théorique'!E27/2</f>
        <v>4.734472103</v>
      </c>
      <c r="J9" s="44"/>
      <c r="K9" s="44"/>
      <c r="L9" s="212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ht="13.5" customHeight="1">
      <c r="A10" s="222" t="s">
        <v>190</v>
      </c>
      <c r="B10" s="222" t="s">
        <v>191</v>
      </c>
      <c r="C10" s="222" t="s">
        <v>106</v>
      </c>
      <c r="D10" s="234">
        <f>'Dimensionnement Théorique'!J29+2*D16</f>
        <v>16.60725745</v>
      </c>
      <c r="E10" s="232"/>
      <c r="F10" s="222" t="s">
        <v>192</v>
      </c>
      <c r="G10" s="222" t="s">
        <v>193</v>
      </c>
      <c r="H10" s="235" t="s">
        <v>106</v>
      </c>
      <c r="I10" s="236">
        <f>(I8-I9)/TAN(RADIANS(I6))</f>
        <v>50.27890719</v>
      </c>
      <c r="J10" s="44"/>
      <c r="K10" s="44"/>
      <c r="L10" s="212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ht="13.5" customHeight="1">
      <c r="A11" s="222" t="s">
        <v>194</v>
      </c>
      <c r="B11" s="222"/>
      <c r="C11" s="222" t="s">
        <v>106</v>
      </c>
      <c r="D11" s="234">
        <f>D5*SIN(D6/2)/10</f>
        <v>5.713097073</v>
      </c>
      <c r="E11" s="221"/>
      <c r="F11" s="44"/>
      <c r="G11" s="44"/>
      <c r="H11" s="237"/>
      <c r="I11" s="44"/>
      <c r="J11" s="44"/>
      <c r="K11" s="44"/>
      <c r="L11" s="212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13.5" customHeight="1">
      <c r="A12" s="222" t="s">
        <v>195</v>
      </c>
      <c r="B12" s="222" t="s">
        <v>196</v>
      </c>
      <c r="C12" s="222" t="s">
        <v>55</v>
      </c>
      <c r="D12" s="234">
        <f>($D$10/100)*_xlfn.CEILING.MATH($D$9/_xlfn.FLOOR.MATH((PI()*$D$5/(10*$D$8))))</f>
        <v>0.6642902981</v>
      </c>
      <c r="E12" s="221"/>
      <c r="F12" s="44"/>
      <c r="G12" s="44"/>
      <c r="H12" s="237"/>
      <c r="I12" s="44"/>
      <c r="J12" s="44"/>
      <c r="K12" s="44"/>
      <c r="L12" s="212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3.5" customHeight="1">
      <c r="A13" s="218" t="s">
        <v>197</v>
      </c>
      <c r="B13" s="219"/>
      <c r="C13" s="219"/>
      <c r="D13" s="220"/>
      <c r="E13" s="221"/>
      <c r="F13" s="44"/>
      <c r="G13" s="44"/>
      <c r="H13" s="237"/>
      <c r="I13" s="44"/>
      <c r="J13" s="44"/>
      <c r="K13" s="44"/>
      <c r="L13" s="212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3.5" customHeight="1">
      <c r="A14" s="222" t="s">
        <v>198</v>
      </c>
      <c r="B14" s="222" t="s">
        <v>199</v>
      </c>
      <c r="C14" s="222" t="s">
        <v>106</v>
      </c>
      <c r="D14" s="234">
        <f>'Dimensionnement Théorique'!J20/2</f>
        <v>14.78781196</v>
      </c>
      <c r="E14" s="221"/>
      <c r="F14" s="44"/>
      <c r="G14" s="44"/>
      <c r="H14" s="237"/>
      <c r="I14" s="44"/>
      <c r="J14" s="44"/>
      <c r="K14" s="44"/>
      <c r="L14" s="212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13.5" customHeight="1">
      <c r="A15" s="222" t="s">
        <v>200</v>
      </c>
      <c r="B15" s="222" t="s">
        <v>201</v>
      </c>
      <c r="C15" s="222" t="s">
        <v>106</v>
      </c>
      <c r="D15" s="234">
        <f>'Dimensionnement Théorique'!E28*100/2</f>
        <v>9.947017154</v>
      </c>
      <c r="E15" s="221"/>
      <c r="F15" s="44"/>
      <c r="G15" s="44"/>
      <c r="H15" s="237"/>
      <c r="I15" s="44"/>
      <c r="J15" s="44"/>
      <c r="K15" s="44"/>
      <c r="L15" s="212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ht="13.5" customHeight="1">
      <c r="A16" s="224" t="s">
        <v>202</v>
      </c>
      <c r="B16" s="224" t="s">
        <v>93</v>
      </c>
      <c r="C16" s="224" t="s">
        <v>106</v>
      </c>
      <c r="D16" s="238">
        <v>3.5</v>
      </c>
      <c r="E16" s="221"/>
      <c r="F16" s="44"/>
      <c r="G16" s="44"/>
      <c r="H16" s="237"/>
      <c r="I16" s="44"/>
      <c r="J16" s="44"/>
      <c r="K16" s="44"/>
      <c r="L16" s="212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ht="13.5" customHeight="1">
      <c r="A17" s="222" t="s">
        <v>203</v>
      </c>
      <c r="B17" s="222"/>
      <c r="C17" s="222" t="s">
        <v>106</v>
      </c>
      <c r="D17" s="234">
        <f>'Dimensionnement Théorique'!J29</f>
        <v>9.607257452</v>
      </c>
      <c r="E17" s="221"/>
      <c r="F17" s="44"/>
      <c r="G17" s="44"/>
      <c r="H17" s="237"/>
      <c r="I17" s="44"/>
      <c r="J17" s="44"/>
      <c r="K17" s="44"/>
      <c r="L17" s="212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ht="13.5" customHeight="1">
      <c r="A18" s="222" t="s">
        <v>204</v>
      </c>
      <c r="B18" s="222"/>
      <c r="C18" s="222" t="s">
        <v>106</v>
      </c>
      <c r="D18" s="239">
        <f>2*PI()*D14/D9</f>
        <v>5.161920158</v>
      </c>
      <c r="E18" s="44"/>
      <c r="F18" s="44"/>
      <c r="G18" s="44"/>
      <c r="H18" s="237"/>
      <c r="I18" s="44"/>
      <c r="J18" s="44"/>
      <c r="K18" s="44"/>
      <c r="L18" s="212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13.5" customHeight="1">
      <c r="A19" s="240" t="s">
        <v>205</v>
      </c>
      <c r="B19" s="240"/>
      <c r="C19" s="241" t="s">
        <v>106</v>
      </c>
      <c r="D19" s="242">
        <f>D14*SIN(D18/D14)</f>
        <v>5.057729567</v>
      </c>
      <c r="E19" s="44"/>
      <c r="F19" s="44"/>
      <c r="G19" s="44"/>
      <c r="H19" s="237"/>
      <c r="I19" s="44"/>
      <c r="J19" s="44"/>
      <c r="K19" s="44"/>
      <c r="L19" s="212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13.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212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3.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212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3.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212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3.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212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3.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212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3.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12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3.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212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3.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212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3.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212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3.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212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3.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212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3.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212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3.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212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3.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212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3.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12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3.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212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3.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212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3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212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3.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212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3.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212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3.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212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3.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212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3.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212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3.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212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3.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212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3.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212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3.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212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3.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212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3.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212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3.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212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3.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212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3.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212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3.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212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3.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212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3.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212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3.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212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3.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212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3.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212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3.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212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3.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212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3.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212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3.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212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3.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212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3.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212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3.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212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3.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212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3.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212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3.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212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3.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212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3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212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3.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212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3.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212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3.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212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3.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212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3.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212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3.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212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3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212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3.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212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3.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212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3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212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3.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212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3.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212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3.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212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3.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212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3.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212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3.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212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3.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212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3.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212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3.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212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3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212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3.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212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3.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212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3.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212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3.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212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3.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212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3.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212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3.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212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3.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212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3.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212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3.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212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3.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212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3.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212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3.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212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3.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212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3.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212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3.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212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3.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212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3.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212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3.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212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3.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212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3.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212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3.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212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3.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212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3.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212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3.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212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3.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212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3.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212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3.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212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3.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212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3.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212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3.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212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3.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212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3.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212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3.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212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3.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212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3.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212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3.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212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3.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212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3.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212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3.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212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3.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212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3.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212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3.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212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3.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212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212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3.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212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3.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212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3.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212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3.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212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3.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212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3.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212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3.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212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3.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212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3.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212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3.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212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3.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212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3.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212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3.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212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3.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212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3.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212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3.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212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3.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212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3.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212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3.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212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3.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212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3.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212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3.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212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3.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212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3.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212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3.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212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3.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212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3.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212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3.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212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3.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212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3.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212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3.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212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3.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212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3.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212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3.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212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3.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212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3.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212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3.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212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3.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212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3.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212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3.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212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3.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212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3.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212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3.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212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3.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212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3.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212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3.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212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3.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212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3.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212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3.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212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3.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212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3.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212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3.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212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3.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212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3.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212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3.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212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3.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212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3.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212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3.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212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3.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212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3.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212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3.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212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3.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212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3.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212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3.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212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212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3.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212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3.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212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3.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212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3.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212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3.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212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3.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212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3.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212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3.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212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3.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212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3.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212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3.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212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3.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212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3.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212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3.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212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3.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212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3.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212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3.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212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3.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212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3.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212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3.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212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3.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212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3.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212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13.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212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3.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212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3.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212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3.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212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3.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212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3.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212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3.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212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3.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212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3.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212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3.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212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3.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212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3.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212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3.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212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3.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212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3.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212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3.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212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3.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212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3.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212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3.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212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3.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212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3.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212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3.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212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3.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212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3.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212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3.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212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3.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212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3.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212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3.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212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3.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212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3.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212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3.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212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3.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212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3.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212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3.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212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3.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212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3.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212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3.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212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3.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212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3.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212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3.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212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3.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212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3.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212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212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3.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212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3.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212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3.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212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3.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212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3.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212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3.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212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3.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212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3.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212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3.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212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3.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212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3.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212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3.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212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3.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212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3.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212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3.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212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3.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212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3.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212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3.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212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3.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212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3.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212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3.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212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3.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212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3.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212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3.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212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3.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212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3.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212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3.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212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3.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212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3.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212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3.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212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3.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212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3.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212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3.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212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3.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212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3.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212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3.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212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3.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212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3.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212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3.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212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3.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212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3.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212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3.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212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3.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212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3.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212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3.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212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3.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212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3.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212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3.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212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3.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212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3.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212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3.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212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3.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212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3.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212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3.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212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3.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212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3.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212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3.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212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3.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212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3.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212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3.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212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3.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212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3.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212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3.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212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3.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212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212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3.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212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3.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212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3.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212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3.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212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3.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212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3.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212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3.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212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3.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212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3.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212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3.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212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3.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212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3.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212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3.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212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3.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212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3.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212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3.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212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3.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212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3.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212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3.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212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3.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212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3.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212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3.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212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3.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212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3.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212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3.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212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3.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212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3.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212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3.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212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3.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212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3.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212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3.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212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3.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212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3.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212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3.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212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3.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212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3.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212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3.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212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3.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212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3.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212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3.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212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3.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212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3.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212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3.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212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3.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212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3.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212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3.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212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3.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212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3.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212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3.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212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3.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212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3.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212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3.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212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3.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212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3.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212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3.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212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3.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212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3.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212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3.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212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3.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212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3.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212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3.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212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3.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212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3.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212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3.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212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212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3.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212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3.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212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3.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212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3.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212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3.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212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3.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212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3.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212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3.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212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3.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212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3.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212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3.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212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3.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212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3.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212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3.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212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3.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212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3.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212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3.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212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3.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212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3.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212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3.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212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3.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212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3.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212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3.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212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3.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212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3.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212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3.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212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3.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212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3.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212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3.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212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3.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212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3.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212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3.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212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3.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212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3.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212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3.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212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3.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212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3.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212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3.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212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3.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212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3.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212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3.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212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3.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212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3.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212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3.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212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3.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212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3.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212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3.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212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3.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212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3.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212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3.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212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3.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212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3.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212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3.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212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3.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212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3.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212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3.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212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3.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212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3.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212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3.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212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3.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212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3.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212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3.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212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3.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212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3.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212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212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3.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212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3.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212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3.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212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3.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212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3.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212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3.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212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3.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212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3.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212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3.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212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3.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212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3.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212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3.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212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3.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212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3.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212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3.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212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3.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212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3.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212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3.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212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3.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212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3.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212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3.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212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3.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212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3.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212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3.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212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3.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212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3.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212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3.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212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3.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212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3.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212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3.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212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3.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212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3.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212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3.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212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3.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212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3.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212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3.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212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3.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212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3.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212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3.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212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3.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212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3.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212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3.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212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3.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212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3.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212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3.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212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3.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212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3.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212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3.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212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3.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212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3.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212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3.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212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3.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212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3.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212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3.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212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3.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212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3.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212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3.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212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3.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212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3.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212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3.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212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3.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212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3.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212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3.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212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3.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212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212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3.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212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3.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212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3.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212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3.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212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3.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212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3.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212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3.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212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3.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212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3.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212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3.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212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3.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212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3.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212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3.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212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3.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212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3.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212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3.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212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3.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212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3.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212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3.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212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3.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212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3.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212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3.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212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3.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212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3.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212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3.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212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3.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212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3.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212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3.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212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3.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212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3.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212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3.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212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3.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212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3.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212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3.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212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3.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212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3.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212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3.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212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3.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212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3.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212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3.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212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3.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212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3.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212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3.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212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3.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212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3.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212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3.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212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3.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212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3.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212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3.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212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3.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212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3.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212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3.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212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3.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212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3.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212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3.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212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3.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212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3.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212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3.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212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3.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212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3.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212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3.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212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3.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212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3.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212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3.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212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212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3.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212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3.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212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3.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212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3.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212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3.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212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3.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212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3.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212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3.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212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3.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212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3.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212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3.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212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3.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212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3.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212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3.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212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3.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212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3.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212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3.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212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3.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212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3.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212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3.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212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3.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212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3.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212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3.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212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3.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212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3.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212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3.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212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3.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212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3.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212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3.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212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3.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212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3.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212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3.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212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3.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212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3.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212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3.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212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3.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212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3.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212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3.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212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3.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212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3.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212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3.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212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3.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212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3.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212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3.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212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3.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212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3.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212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3.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212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3.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212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3.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212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3.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212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3.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212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3.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212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3.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212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3.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212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3.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212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3.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212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3.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212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3.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212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3.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212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3.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212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3.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212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3.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212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3.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212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3.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212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212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3.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212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3.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212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3.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212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3.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212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3.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212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3.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212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3.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212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3.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212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3.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212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3.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212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3.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212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3.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212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3.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212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3.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212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3.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212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3.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212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3.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212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3.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212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3.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212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3.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212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3.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212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3.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212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3.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212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3.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212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3.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212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3.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212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3.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212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3.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212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3.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212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3.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212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3.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212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3.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212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3.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212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3.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212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3.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212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3.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212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3.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212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3.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212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3.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212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3.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212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3.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212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3.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212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3.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212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3.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212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3.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212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3.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212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3.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212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3.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212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3.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212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3.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212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3.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212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3.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212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3.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212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3.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212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3.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212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3.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212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3.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212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3.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212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3.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212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3.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212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3.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212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3.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212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3.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212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3.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212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212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3.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212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3.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212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3.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212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3.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212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3.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212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3.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212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3.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212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3.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212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3.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212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3.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212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3.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212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3.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212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3.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212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3.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212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3.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212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3.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212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3.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212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3.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212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3.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212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3.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212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3.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212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3.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212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3.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212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3.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212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3.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212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3.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212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3.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212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3.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212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3.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212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3.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212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3.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212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3.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212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3.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212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3.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212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3.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212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3.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212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3.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212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3.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212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3.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212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3.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212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3.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212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3.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212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3.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212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3.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212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3.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212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3.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212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3.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212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3.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212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3.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212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3.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212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3.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212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3.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212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3.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212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3.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212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3.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212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3.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212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3.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212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3.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212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3.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212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3.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212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3.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212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3.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212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3.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212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3.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212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212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3.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212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3.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212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3.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212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3.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212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3.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212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3.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212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3.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212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3.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212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3.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212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3.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212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3.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212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3.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212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3.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212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3.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212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3.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212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3.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212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3.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212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3.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212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3.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212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3.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212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3.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212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3.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212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3.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212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3.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212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3.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212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3.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212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3.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212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3.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212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3.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212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3.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212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3.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212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3.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212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3.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212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3.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212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3.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212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3.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212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3.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212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3.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212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3.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212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3.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212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3.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212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3.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212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3.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212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3.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212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3.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212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3.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212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3.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212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3.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212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3.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212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3.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212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3.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212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3.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212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3.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212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3.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212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3.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212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3.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212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3.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212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3.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212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3.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212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3.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212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3.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212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3.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212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3.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212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3.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212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212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3.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212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3.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212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3.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212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3.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212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3.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212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3.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212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3.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212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3.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212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3.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212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3.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212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3.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212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3.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212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3.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212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3.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212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3.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212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3.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212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3.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212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3.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212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3.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212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3.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212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3.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212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3.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212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3.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212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3.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212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3.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212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3.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212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3.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212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3.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212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3.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212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3.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212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3.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212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3.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212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3.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212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3.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212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3.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212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3.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212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3.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212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3.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212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3.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212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3.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212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3.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212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3.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212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3.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212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3.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212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3.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212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3.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212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3.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212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3.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212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3.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212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3.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212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3.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212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3.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212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3.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212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3.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212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3.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212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3.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212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3.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212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3.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212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3.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212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3.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212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3.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212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3.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212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3.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212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3.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212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212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3.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212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3.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212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3.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212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3.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212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3.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212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3.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212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3.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212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3.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212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3.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212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3.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212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3.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212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3.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212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3.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212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3.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212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3.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212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3.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212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3.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212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3.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212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3.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212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3.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212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3.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212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3.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212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3.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212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3.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212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3.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212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3.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212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3.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212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3.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212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3.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212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3.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212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3.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212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3.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212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3.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212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3.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212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3.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212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3.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212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3.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212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3.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212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3.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212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3.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212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3.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212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3.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212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3.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212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3.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212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3.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212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3.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212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3.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212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3.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212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3.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212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3.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212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3.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212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3.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212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3.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212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3.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212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3.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212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ht="13.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212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ht="13.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212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ht="13.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212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ht="13.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212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ht="13.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212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ht="13.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212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ht="13.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212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ht="13.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212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ht="13.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212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212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ht="13.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212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ht="13.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212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ht="13.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212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ht="13.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212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ht="13.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212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ht="13.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212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ht="13.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212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ht="13.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212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ht="13.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212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ht="13.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212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ht="13.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212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ht="13.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212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ht="13.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212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ht="13.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212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ht="13.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212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ht="13.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212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ht="13.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212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ht="13.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212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ht="13.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212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ht="13.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212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ht="13.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212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6">
    <mergeCell ref="A2:D3"/>
    <mergeCell ref="F2:I3"/>
    <mergeCell ref="A4:D4"/>
    <mergeCell ref="A6:A7"/>
    <mergeCell ref="B6:B7"/>
    <mergeCell ref="A13:D13"/>
  </mergeCell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86"/>
    <col customWidth="1" min="2" max="2" width="15.71"/>
    <col customWidth="1" min="3" max="3" width="15.14"/>
    <col customWidth="1" min="4" max="4" width="14.43"/>
    <col customWidth="1" min="5" max="5" width="10.0"/>
    <col customWidth="1" min="6" max="6" width="6.14"/>
    <col customWidth="1" min="7" max="7" width="17.0"/>
    <col customWidth="1" min="8" max="8" width="30.14"/>
    <col customWidth="1" min="9" max="9" width="20.71"/>
    <col customWidth="1" min="10" max="10" width="24.0"/>
    <col customWidth="1" min="11" max="11" width="16.86"/>
    <col customWidth="1" min="12" max="12" width="14.0"/>
    <col customWidth="1" min="13" max="13" width="27.43"/>
    <col customWidth="1" min="14" max="14" width="13.0"/>
    <col customWidth="1" min="15" max="28" width="14.43"/>
  </cols>
  <sheetData>
    <row r="1" ht="13.5" customHeight="1">
      <c r="A1" s="243" t="s">
        <v>206</v>
      </c>
      <c r="B1" s="244" t="s">
        <v>207</v>
      </c>
      <c r="C1" s="245" t="s">
        <v>208</v>
      </c>
      <c r="D1" s="246">
        <v>21.0</v>
      </c>
      <c r="E1" s="6"/>
      <c r="F1" s="6"/>
      <c r="G1" s="247" t="s">
        <v>209</v>
      </c>
      <c r="H1" s="8"/>
      <c r="I1" s="8"/>
      <c r="J1" s="8"/>
      <c r="K1" s="9"/>
      <c r="L1" s="44"/>
      <c r="M1" s="44"/>
      <c r="N1" s="4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3.5" customHeight="1">
      <c r="A2" s="68"/>
      <c r="B2" s="244" t="s">
        <v>210</v>
      </c>
      <c r="C2" s="245" t="s">
        <v>211</v>
      </c>
      <c r="D2" s="248">
        <v>19.2</v>
      </c>
      <c r="E2" s="6"/>
      <c r="F2" s="6"/>
      <c r="G2" s="249" t="s">
        <v>212</v>
      </c>
      <c r="H2" s="9"/>
      <c r="I2" s="6"/>
      <c r="J2" s="250" t="s">
        <v>213</v>
      </c>
      <c r="K2" s="9"/>
      <c r="L2" s="44"/>
      <c r="M2" s="44"/>
      <c r="N2" s="44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>
      <c r="A3" s="39"/>
      <c r="B3" s="39"/>
      <c r="C3" s="39"/>
      <c r="D3" s="39"/>
      <c r="E3" s="6"/>
      <c r="F3" s="6"/>
      <c r="G3" s="15" t="s">
        <v>214</v>
      </c>
      <c r="H3" s="251">
        <v>12.0</v>
      </c>
      <c r="I3" s="6"/>
      <c r="J3" s="252" t="s">
        <v>215</v>
      </c>
      <c r="K3" s="253" t="s">
        <v>216</v>
      </c>
      <c r="L3" s="44"/>
      <c r="M3" s="44"/>
      <c r="N3" s="44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3.5" customHeight="1">
      <c r="A4" s="254" t="s">
        <v>217</v>
      </c>
      <c r="B4" s="9"/>
      <c r="C4" s="44"/>
      <c r="D4" s="44"/>
      <c r="E4" s="44"/>
      <c r="F4" s="6"/>
      <c r="G4" s="15" t="s">
        <v>218</v>
      </c>
      <c r="H4" s="251">
        <v>15.0</v>
      </c>
      <c r="I4" s="6"/>
      <c r="J4" s="252" t="s">
        <v>219</v>
      </c>
      <c r="K4" s="255">
        <v>500.0</v>
      </c>
      <c r="L4" s="44"/>
      <c r="M4" s="44"/>
      <c r="N4" s="4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13.5" customHeight="1">
      <c r="A5" s="256" t="s">
        <v>207</v>
      </c>
      <c r="B5" s="257">
        <f t="shared" ref="B5:B6" si="1">6*D1</f>
        <v>126</v>
      </c>
      <c r="C5" s="44"/>
      <c r="D5" s="44"/>
      <c r="E5" s="44"/>
      <c r="F5" s="6"/>
      <c r="G5" s="15" t="s">
        <v>220</v>
      </c>
      <c r="H5" s="16" t="s">
        <v>211</v>
      </c>
      <c r="I5" s="6"/>
      <c r="J5" s="252" t="s">
        <v>221</v>
      </c>
      <c r="K5" s="255">
        <v>200.0</v>
      </c>
      <c r="L5" s="44"/>
      <c r="M5" s="44"/>
      <c r="N5" s="44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13.5" customHeight="1">
      <c r="A6" s="256" t="s">
        <v>210</v>
      </c>
      <c r="B6" s="258">
        <f t="shared" si="1"/>
        <v>115.2</v>
      </c>
      <c r="C6" s="44"/>
      <c r="D6" s="44"/>
      <c r="E6" s="44"/>
      <c r="F6" s="6"/>
      <c r="G6" s="15" t="s">
        <v>222</v>
      </c>
      <c r="H6" s="16" t="s">
        <v>211</v>
      </c>
      <c r="I6" s="6"/>
      <c r="J6" s="252" t="s">
        <v>223</v>
      </c>
      <c r="K6" s="255">
        <v>130.0</v>
      </c>
      <c r="L6" s="44"/>
      <c r="M6" s="44"/>
      <c r="N6" s="44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13.5" customHeight="1">
      <c r="A7" s="259" t="s">
        <v>224</v>
      </c>
      <c r="B7" s="260">
        <f>B6+B5</f>
        <v>241.2</v>
      </c>
      <c r="C7" s="44"/>
      <c r="D7" s="44"/>
      <c r="E7" s="44"/>
      <c r="F7" s="6"/>
      <c r="G7" s="15" t="s">
        <v>225</v>
      </c>
      <c r="H7" s="16" t="s">
        <v>211</v>
      </c>
      <c r="I7" s="6"/>
      <c r="J7" s="252" t="s">
        <v>226</v>
      </c>
      <c r="K7" s="253" t="s">
        <v>211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ht="13.5" customHeight="1">
      <c r="A8" s="261" t="s">
        <v>227</v>
      </c>
      <c r="B8" s="9"/>
      <c r="C8" s="44"/>
      <c r="D8" s="44"/>
      <c r="E8" s="6"/>
      <c r="F8" s="6"/>
      <c r="G8" s="262" t="s">
        <v>228</v>
      </c>
      <c r="H8" s="263" t="s">
        <v>229</v>
      </c>
      <c r="I8" s="44"/>
      <c r="J8" s="264" t="s">
        <v>230</v>
      </c>
      <c r="K8" s="265" t="s">
        <v>231</v>
      </c>
      <c r="L8" s="44"/>
      <c r="M8" s="44"/>
      <c r="N8" s="44"/>
      <c r="O8" s="44"/>
      <c r="P8" s="44"/>
      <c r="Q8" s="44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13.5" customHeight="1">
      <c r="A9" s="18" t="s">
        <v>232</v>
      </c>
      <c r="B9" s="266">
        <v>20.0</v>
      </c>
      <c r="C9" s="44"/>
      <c r="D9" s="44"/>
      <c r="E9" s="44"/>
      <c r="F9" s="44"/>
      <c r="G9" s="15" t="s">
        <v>233</v>
      </c>
      <c r="H9" s="16" t="s">
        <v>234</v>
      </c>
      <c r="I9" s="6"/>
      <c r="J9" s="252" t="s">
        <v>235</v>
      </c>
      <c r="K9" s="267" t="s">
        <v>236</v>
      </c>
      <c r="L9" s="44"/>
      <c r="M9" s="44"/>
      <c r="N9" s="44"/>
      <c r="O9" s="44"/>
      <c r="P9" s="44"/>
      <c r="Q9" s="44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13.5" customHeight="1">
      <c r="A10" s="18" t="s">
        <v>237</v>
      </c>
      <c r="B10" s="266">
        <v>100.0</v>
      </c>
      <c r="C10" s="44"/>
      <c r="D10" s="44"/>
      <c r="E10" s="44"/>
      <c r="F10" s="44"/>
      <c r="G10" s="15" t="s">
        <v>238</v>
      </c>
      <c r="H10" s="268">
        <v>18.0</v>
      </c>
      <c r="I10" s="6"/>
      <c r="J10" s="252" t="s">
        <v>239</v>
      </c>
      <c r="K10" s="253" t="s">
        <v>240</v>
      </c>
      <c r="L10" s="44"/>
      <c r="M10" s="44"/>
      <c r="N10" s="44"/>
      <c r="O10" s="44"/>
      <c r="P10" s="44"/>
      <c r="Q10" s="4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13.5" customHeight="1">
      <c r="A11" s="18" t="s">
        <v>241</v>
      </c>
      <c r="B11" s="18" t="s">
        <v>242</v>
      </c>
      <c r="C11" s="44"/>
      <c r="D11" s="44"/>
      <c r="E11" s="44"/>
      <c r="F11" s="44"/>
      <c r="G11" s="269" t="s">
        <v>243</v>
      </c>
      <c r="H11" s="270" t="s">
        <v>211</v>
      </c>
      <c r="I11" s="271" t="s">
        <v>244</v>
      </c>
      <c r="J11" s="272" t="s">
        <v>245</v>
      </c>
      <c r="K11" s="253" t="s">
        <v>246</v>
      </c>
      <c r="L11" s="44"/>
      <c r="M11" s="44"/>
      <c r="N11" s="44"/>
      <c r="O11" s="44"/>
      <c r="P11" s="44"/>
      <c r="Q11" s="4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13.5" customHeight="1">
      <c r="A12" s="18" t="s">
        <v>247</v>
      </c>
      <c r="B12" s="266">
        <v>50.0</v>
      </c>
      <c r="C12" s="44"/>
      <c r="D12" s="44"/>
      <c r="E12" s="44"/>
      <c r="F12" s="44"/>
      <c r="G12" s="269" t="s">
        <v>248</v>
      </c>
      <c r="H12" s="273">
        <v>10.0</v>
      </c>
      <c r="I12" s="274" t="s">
        <v>249</v>
      </c>
      <c r="J12" s="6"/>
      <c r="K12" s="6"/>
      <c r="L12" s="44"/>
      <c r="M12" s="44"/>
      <c r="N12" s="44"/>
      <c r="O12" s="44"/>
      <c r="P12" s="44"/>
      <c r="Q12" s="4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13.5" customHeight="1">
      <c r="A13" s="259" t="s">
        <v>224</v>
      </c>
      <c r="B13" s="275">
        <v>220.0</v>
      </c>
      <c r="C13" s="44"/>
      <c r="D13" s="44"/>
      <c r="E13" s="6"/>
      <c r="F13" s="6"/>
      <c r="G13" s="269" t="s">
        <v>250</v>
      </c>
      <c r="H13" s="276" t="s">
        <v>251</v>
      </c>
      <c r="I13" s="274" t="s">
        <v>252</v>
      </c>
      <c r="J13" s="6"/>
      <c r="K13" s="6"/>
      <c r="L13" s="44"/>
      <c r="M13" s="44"/>
      <c r="N13" s="44"/>
      <c r="O13" s="44"/>
      <c r="P13" s="44"/>
      <c r="Q13" s="4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13.5" customHeight="1">
      <c r="A14" s="277" t="s">
        <v>253</v>
      </c>
      <c r="B14" s="9"/>
      <c r="C14" s="44"/>
      <c r="D14" s="44"/>
      <c r="E14" s="6"/>
      <c r="F14" s="6"/>
      <c r="G14" s="269" t="s">
        <v>254</v>
      </c>
      <c r="H14" s="273">
        <v>10.0</v>
      </c>
      <c r="I14" s="274" t="s">
        <v>255</v>
      </c>
      <c r="J14" s="6"/>
      <c r="K14" s="6"/>
      <c r="L14" s="44"/>
      <c r="M14" s="44"/>
      <c r="N14" s="44"/>
      <c r="O14" s="44"/>
      <c r="P14" s="44"/>
      <c r="Q14" s="44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13.5" customHeight="1">
      <c r="A15" s="278" t="s">
        <v>256</v>
      </c>
      <c r="B15" s="279">
        <v>23.12</v>
      </c>
      <c r="C15" s="44"/>
      <c r="D15" s="44"/>
      <c r="E15" s="6"/>
      <c r="F15" s="6"/>
      <c r="G15" s="269" t="s">
        <v>257</v>
      </c>
      <c r="H15" s="276" t="s">
        <v>258</v>
      </c>
      <c r="I15" s="274" t="s">
        <v>255</v>
      </c>
      <c r="J15" s="6"/>
      <c r="K15" s="6"/>
      <c r="L15" s="44"/>
      <c r="M15" s="44"/>
      <c r="N15" s="44"/>
      <c r="O15" s="44"/>
      <c r="P15" s="44"/>
      <c r="Q15" s="44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13.5" customHeight="1">
      <c r="A16" s="278" t="s">
        <v>259</v>
      </c>
      <c r="B16" s="279">
        <v>2.4</v>
      </c>
      <c r="C16" s="6"/>
      <c r="D16" s="6"/>
      <c r="E16" s="44"/>
      <c r="F16" s="44"/>
      <c r="G16" s="44"/>
      <c r="H16" s="44"/>
      <c r="I16" s="44"/>
      <c r="J16" s="6"/>
      <c r="K16" s="6"/>
      <c r="L16" s="6"/>
      <c r="M16" s="44"/>
      <c r="N16" s="44"/>
      <c r="O16" s="44"/>
      <c r="P16" s="44"/>
      <c r="Q16" s="44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13.5" customHeight="1">
      <c r="A17" s="278" t="s">
        <v>260</v>
      </c>
      <c r="B17" s="279">
        <v>21.9</v>
      </c>
      <c r="C17" s="44"/>
      <c r="D17" s="6"/>
      <c r="E17" s="44"/>
      <c r="F17" s="6"/>
      <c r="G17" s="6"/>
      <c r="H17" s="44"/>
      <c r="I17" s="39"/>
      <c r="J17" s="280" t="s">
        <v>261</v>
      </c>
      <c r="K17" s="44"/>
      <c r="L17" s="44"/>
      <c r="M17" s="44"/>
      <c r="N17" s="44"/>
      <c r="O17" s="44"/>
      <c r="P17" s="44"/>
      <c r="Q17" s="4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3.5" customHeight="1">
      <c r="A18" s="278" t="s">
        <v>262</v>
      </c>
      <c r="B18" s="279">
        <v>11.9</v>
      </c>
      <c r="C18" s="6"/>
      <c r="D18" s="6"/>
      <c r="E18" s="44"/>
      <c r="F18" s="44"/>
      <c r="G18" s="44"/>
      <c r="H18" s="44"/>
      <c r="I18" s="281" t="s">
        <v>213</v>
      </c>
      <c r="J18" s="281" t="s">
        <v>263</v>
      </c>
      <c r="K18" s="44"/>
      <c r="L18" s="44"/>
      <c r="M18" s="44"/>
      <c r="N18" s="44"/>
      <c r="O18" s="44"/>
      <c r="P18" s="44"/>
      <c r="Q18" s="4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3.5" customHeight="1">
      <c r="A19" s="278" t="s">
        <v>264</v>
      </c>
      <c r="B19" s="279">
        <v>7.89</v>
      </c>
      <c r="C19" s="6"/>
      <c r="D19" s="6"/>
      <c r="E19" s="44"/>
      <c r="F19" s="44"/>
      <c r="G19" s="44"/>
      <c r="H19" s="44"/>
      <c r="I19" s="281" t="s">
        <v>212</v>
      </c>
      <c r="J19" s="281" t="s">
        <v>265</v>
      </c>
      <c r="K19" s="44"/>
      <c r="L19" s="44"/>
      <c r="M19" s="44"/>
      <c r="N19" s="44"/>
      <c r="O19" s="44"/>
      <c r="P19" s="44"/>
      <c r="Q19" s="44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3.5" customHeight="1">
      <c r="A20" s="278" t="s">
        <v>266</v>
      </c>
      <c r="B20" s="279">
        <v>4.5</v>
      </c>
      <c r="C20" s="6"/>
      <c r="D20" s="6"/>
      <c r="E20" s="44"/>
      <c r="F20" s="44"/>
      <c r="G20" s="44"/>
      <c r="H20" s="44"/>
      <c r="I20" s="281" t="s">
        <v>224</v>
      </c>
      <c r="J20" s="281" t="s">
        <v>267</v>
      </c>
      <c r="K20" s="44"/>
      <c r="L20" s="44"/>
      <c r="M20" s="44"/>
      <c r="N20" s="44"/>
      <c r="O20" s="44"/>
      <c r="P20" s="44"/>
      <c r="Q20" s="44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3.5" customHeight="1">
      <c r="A21" s="259" t="s">
        <v>224</v>
      </c>
      <c r="B21" s="260">
        <f>SUM(B15:B20)</f>
        <v>71.71</v>
      </c>
      <c r="C21" s="6"/>
      <c r="D21" s="6"/>
      <c r="E21" s="44"/>
      <c r="F21" s="282" t="s">
        <v>224</v>
      </c>
      <c r="G21" s="282" t="s">
        <v>268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3.5" customHeight="1">
      <c r="A22" s="283" t="s">
        <v>269</v>
      </c>
      <c r="B22" s="9"/>
      <c r="C22" s="6"/>
      <c r="D22" s="6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13.5" customHeight="1">
      <c r="A23" s="284" t="s">
        <v>270</v>
      </c>
      <c r="B23" s="285">
        <f>C79</f>
        <v>89.64</v>
      </c>
      <c r="C23" s="6"/>
      <c r="D23" s="6"/>
      <c r="E23" s="44"/>
      <c r="F23" s="44"/>
      <c r="G23" s="44"/>
      <c r="H23" s="44"/>
      <c r="I23" s="44"/>
      <c r="J23" s="44"/>
      <c r="K23" s="44"/>
      <c r="L23" s="44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13.5" customHeight="1">
      <c r="A24" s="284" t="s">
        <v>271</v>
      </c>
      <c r="B24" s="285">
        <f>C85</f>
        <v>9.76</v>
      </c>
      <c r="C24" s="6"/>
      <c r="D24" s="6"/>
      <c r="E24" s="44"/>
      <c r="F24" s="44"/>
      <c r="G24" s="44"/>
      <c r="H24" s="44"/>
      <c r="I24" s="44"/>
      <c r="J24" s="44"/>
      <c r="K24" s="44"/>
      <c r="L24" s="4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13.5" customHeight="1">
      <c r="A25" s="259" t="s">
        <v>272</v>
      </c>
      <c r="B25" s="260">
        <f>SUM(B23:B24)</f>
        <v>99.4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13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13.5" customHeight="1">
      <c r="A27" s="286" t="s">
        <v>273</v>
      </c>
      <c r="B27" s="8"/>
      <c r="C27" s="8"/>
      <c r="D27" s="8"/>
      <c r="E27" s="9"/>
      <c r="F27" s="6"/>
      <c r="G27" s="6"/>
      <c r="H27" s="287" t="s">
        <v>274</v>
      </c>
      <c r="I27" s="8"/>
      <c r="J27" s="8"/>
      <c r="K27" s="8"/>
      <c r="L27" s="9"/>
      <c r="M27" s="288" t="s">
        <v>275</v>
      </c>
      <c r="N27" s="6"/>
      <c r="O27" s="6"/>
      <c r="P27" s="44"/>
      <c r="Q27" s="44"/>
      <c r="R27" s="44"/>
      <c r="S27" s="44"/>
      <c r="T27" s="44"/>
      <c r="U27" s="44"/>
      <c r="V27" s="6"/>
      <c r="W27" s="6"/>
      <c r="X27" s="6"/>
      <c r="Y27" s="6"/>
      <c r="Z27" s="6"/>
      <c r="AA27" s="6"/>
      <c r="AB27" s="6"/>
    </row>
    <row r="28" ht="13.5" customHeight="1">
      <c r="A28" s="13" t="s">
        <v>276</v>
      </c>
      <c r="B28" s="13" t="s">
        <v>8</v>
      </c>
      <c r="C28" s="13" t="s">
        <v>277</v>
      </c>
      <c r="D28" s="13" t="s">
        <v>278</v>
      </c>
      <c r="E28" s="13" t="s">
        <v>279</v>
      </c>
      <c r="F28" s="6"/>
      <c r="G28" s="6"/>
      <c r="H28" s="289" t="s">
        <v>280</v>
      </c>
      <c r="I28" s="289" t="s">
        <v>281</v>
      </c>
      <c r="J28" s="289" t="s">
        <v>277</v>
      </c>
      <c r="K28" s="289" t="s">
        <v>165</v>
      </c>
      <c r="L28" s="290" t="s">
        <v>279</v>
      </c>
      <c r="M28" s="291"/>
      <c r="N28" s="6"/>
      <c r="O28" s="6"/>
      <c r="P28" s="44"/>
      <c r="Q28" s="44"/>
      <c r="R28" s="44"/>
      <c r="S28" s="44"/>
      <c r="T28" s="44"/>
      <c r="U28" s="44"/>
      <c r="V28" s="6"/>
      <c r="W28" s="6"/>
      <c r="X28" s="6"/>
      <c r="Y28" s="6"/>
      <c r="Z28" s="6"/>
      <c r="AA28" s="6"/>
      <c r="AB28" s="6"/>
    </row>
    <row r="29" ht="27.75" customHeight="1">
      <c r="A29" s="292" t="s">
        <v>282</v>
      </c>
      <c r="B29" s="245">
        <v>80.0</v>
      </c>
      <c r="C29" s="245">
        <v>200.0</v>
      </c>
      <c r="D29" s="293" t="s">
        <v>283</v>
      </c>
      <c r="E29" s="294">
        <v>11.3</v>
      </c>
      <c r="F29" s="295" t="s">
        <v>284</v>
      </c>
      <c r="G29" s="6"/>
      <c r="H29" s="281" t="s">
        <v>285</v>
      </c>
      <c r="I29" s="284">
        <v>15.0</v>
      </c>
      <c r="J29" s="284">
        <v>120.0</v>
      </c>
      <c r="K29" s="284">
        <v>60.0</v>
      </c>
      <c r="L29" s="285">
        <v>5.8</v>
      </c>
      <c r="M29" s="296" t="s">
        <v>286</v>
      </c>
      <c r="N29" s="6"/>
      <c r="O29" s="6"/>
      <c r="P29" s="44"/>
      <c r="Q29" s="44"/>
      <c r="R29" s="44"/>
      <c r="S29" s="44"/>
      <c r="T29" s="44"/>
      <c r="U29" s="44"/>
      <c r="V29" s="6"/>
      <c r="W29" s="6"/>
      <c r="X29" s="6"/>
      <c r="Y29" s="6"/>
      <c r="Z29" s="6"/>
      <c r="AA29" s="6"/>
      <c r="AB29" s="6"/>
    </row>
    <row r="30" ht="13.5" customHeight="1">
      <c r="A30" s="29"/>
      <c r="B30" s="245">
        <v>90.0</v>
      </c>
      <c r="C30" s="245">
        <v>200.0</v>
      </c>
      <c r="D30" s="293" t="s">
        <v>283</v>
      </c>
      <c r="E30" s="294">
        <v>20.0</v>
      </c>
      <c r="F30" s="297"/>
      <c r="G30" s="6"/>
      <c r="H30" s="281" t="s">
        <v>285</v>
      </c>
      <c r="I30" s="284">
        <v>15.0</v>
      </c>
      <c r="J30" s="284">
        <v>160.0</v>
      </c>
      <c r="K30" s="284">
        <v>80.0</v>
      </c>
      <c r="L30" s="285">
        <v>8.9</v>
      </c>
      <c r="M30" s="298" t="s">
        <v>286</v>
      </c>
      <c r="N30" s="6"/>
      <c r="O30" s="6"/>
      <c r="P30" s="44"/>
      <c r="Q30" s="44"/>
      <c r="R30" s="44"/>
      <c r="S30" s="44"/>
      <c r="T30" s="44"/>
      <c r="U30" s="44"/>
      <c r="V30" s="6"/>
      <c r="W30" s="6"/>
      <c r="X30" s="6"/>
      <c r="Y30" s="6"/>
      <c r="Z30" s="6"/>
      <c r="AA30" s="6"/>
      <c r="AB30" s="6"/>
    </row>
    <row r="31" ht="13.5" customHeight="1">
      <c r="A31" s="68"/>
      <c r="B31" s="245">
        <v>100.0</v>
      </c>
      <c r="C31" s="245">
        <v>200.0</v>
      </c>
      <c r="D31" s="293" t="s">
        <v>283</v>
      </c>
      <c r="E31" s="294">
        <v>15.9</v>
      </c>
      <c r="F31" s="297"/>
      <c r="G31" s="6"/>
      <c r="H31" s="281" t="s">
        <v>287</v>
      </c>
      <c r="I31" s="284">
        <v>15.0</v>
      </c>
      <c r="J31" s="284">
        <v>120.0</v>
      </c>
      <c r="K31" s="284">
        <v>60.0</v>
      </c>
      <c r="L31" s="285">
        <v>11.15</v>
      </c>
      <c r="M31" s="298" t="s">
        <v>286</v>
      </c>
      <c r="N31" s="6"/>
      <c r="O31" s="6"/>
      <c r="P31" s="44"/>
      <c r="Q31" s="44"/>
      <c r="R31" s="44"/>
      <c r="S31" s="44"/>
      <c r="T31" s="44"/>
      <c r="U31" s="44"/>
      <c r="V31" s="6"/>
      <c r="W31" s="6"/>
      <c r="X31" s="6"/>
      <c r="Y31" s="6"/>
      <c r="Z31" s="6"/>
      <c r="AA31" s="6"/>
      <c r="AB31" s="6"/>
    </row>
    <row r="32" ht="13.5" customHeight="1">
      <c r="A32" s="299"/>
      <c r="B32" s="8"/>
      <c r="C32" s="8"/>
      <c r="D32" s="8"/>
      <c r="E32" s="9"/>
      <c r="F32" s="297"/>
      <c r="G32" s="6"/>
      <c r="H32" s="281" t="s">
        <v>288</v>
      </c>
      <c r="I32" s="284">
        <v>15.0</v>
      </c>
      <c r="J32" s="284">
        <v>120.0</v>
      </c>
      <c r="K32" s="284">
        <v>60.0</v>
      </c>
      <c r="L32" s="285">
        <v>11.9</v>
      </c>
      <c r="M32" s="300"/>
      <c r="N32" s="6"/>
      <c r="O32" s="6"/>
      <c r="P32" s="44"/>
      <c r="Q32" s="44"/>
      <c r="R32" s="44"/>
      <c r="S32" s="44"/>
      <c r="T32" s="44"/>
      <c r="U32" s="44"/>
      <c r="V32" s="6"/>
      <c r="W32" s="6"/>
      <c r="X32" s="6"/>
      <c r="Y32" s="6"/>
      <c r="Z32" s="6"/>
      <c r="AA32" s="6"/>
      <c r="AB32" s="6"/>
    </row>
    <row r="33" ht="13.5" customHeight="1">
      <c r="A33" s="301" t="s">
        <v>289</v>
      </c>
      <c r="B33" s="302">
        <v>100.0</v>
      </c>
      <c r="C33" s="245">
        <v>50.0</v>
      </c>
      <c r="D33" s="245" t="s">
        <v>290</v>
      </c>
      <c r="E33" s="294">
        <v>15.6</v>
      </c>
      <c r="F33" s="297"/>
      <c r="G33" s="6"/>
      <c r="H33" s="281" t="s">
        <v>288</v>
      </c>
      <c r="I33" s="284">
        <v>15.0</v>
      </c>
      <c r="J33" s="284">
        <v>160.0</v>
      </c>
      <c r="K33" s="284">
        <v>80.0</v>
      </c>
      <c r="L33" s="285">
        <v>17.1</v>
      </c>
      <c r="M33" s="298" t="s">
        <v>286</v>
      </c>
      <c r="N33" s="6"/>
      <c r="O33" s="6"/>
      <c r="P33" s="44"/>
      <c r="Q33" s="44"/>
      <c r="R33" s="44"/>
      <c r="S33" s="44"/>
      <c r="T33" s="44"/>
      <c r="U33" s="44"/>
      <c r="V33" s="6"/>
      <c r="W33" s="6"/>
      <c r="X33" s="6"/>
      <c r="Y33" s="6"/>
      <c r="Z33" s="6"/>
      <c r="AA33" s="6"/>
      <c r="AB33" s="6"/>
    </row>
    <row r="34" ht="13.5" customHeight="1">
      <c r="A34" s="29"/>
      <c r="B34" s="302">
        <v>110.0</v>
      </c>
      <c r="C34" s="245">
        <v>50.0</v>
      </c>
      <c r="D34" s="245" t="s">
        <v>290</v>
      </c>
      <c r="E34" s="294">
        <v>16.5</v>
      </c>
      <c r="F34" s="297"/>
      <c r="G34" s="6"/>
      <c r="H34" s="281" t="s">
        <v>287</v>
      </c>
      <c r="I34" s="284">
        <v>15.0</v>
      </c>
      <c r="J34" s="284">
        <v>160.0</v>
      </c>
      <c r="K34" s="284">
        <v>80.0</v>
      </c>
      <c r="L34" s="285">
        <v>19.2</v>
      </c>
      <c r="M34" s="298" t="s">
        <v>286</v>
      </c>
      <c r="N34" s="6"/>
      <c r="O34" s="6"/>
      <c r="P34" s="44"/>
      <c r="Q34" s="44"/>
      <c r="R34" s="44"/>
      <c r="S34" s="44"/>
      <c r="T34" s="44"/>
      <c r="U34" s="44"/>
      <c r="V34" s="6"/>
      <c r="W34" s="6"/>
      <c r="X34" s="6"/>
      <c r="Y34" s="6"/>
      <c r="Z34" s="6"/>
      <c r="AA34" s="6"/>
      <c r="AB34" s="6"/>
    </row>
    <row r="35" ht="13.5" customHeight="1">
      <c r="A35" s="29"/>
      <c r="B35" s="302">
        <v>125.0</v>
      </c>
      <c r="C35" s="245">
        <v>50.0</v>
      </c>
      <c r="D35" s="245" t="s">
        <v>290</v>
      </c>
      <c r="E35" s="294">
        <v>21.82</v>
      </c>
      <c r="F35" s="297"/>
      <c r="G35" s="6"/>
      <c r="H35" s="281" t="s">
        <v>291</v>
      </c>
      <c r="I35" s="284">
        <v>15.0</v>
      </c>
      <c r="J35" s="284">
        <v>120.0</v>
      </c>
      <c r="K35" s="284">
        <v>60.0</v>
      </c>
      <c r="L35" s="285">
        <v>19.9</v>
      </c>
      <c r="M35" s="298" t="s">
        <v>286</v>
      </c>
      <c r="N35" s="6"/>
      <c r="O35" s="6"/>
      <c r="P35" s="44"/>
      <c r="Q35" s="44"/>
      <c r="R35" s="44"/>
      <c r="S35" s="44"/>
      <c r="T35" s="44"/>
      <c r="U35" s="44"/>
      <c r="V35" s="6"/>
      <c r="W35" s="6"/>
      <c r="X35" s="6"/>
      <c r="Y35" s="6"/>
      <c r="Z35" s="6"/>
      <c r="AA35" s="6"/>
      <c r="AB35" s="6"/>
    </row>
    <row r="36" ht="13.5" customHeight="1">
      <c r="A36" s="29"/>
      <c r="B36" s="302">
        <v>130.0</v>
      </c>
      <c r="C36" s="245">
        <v>50.0</v>
      </c>
      <c r="D36" s="245" t="s">
        <v>290</v>
      </c>
      <c r="E36" s="294">
        <v>19.56</v>
      </c>
      <c r="F36" s="297"/>
      <c r="G36" s="6"/>
      <c r="H36" s="281" t="s">
        <v>292</v>
      </c>
      <c r="I36" s="284">
        <v>15.0</v>
      </c>
      <c r="J36" s="284">
        <v>120.0</v>
      </c>
      <c r="K36" s="284">
        <v>60.0</v>
      </c>
      <c r="L36" s="285">
        <v>26.9</v>
      </c>
      <c r="M36" s="298" t="s">
        <v>286</v>
      </c>
      <c r="N36" s="6"/>
      <c r="O36" s="6"/>
      <c r="P36" s="44"/>
      <c r="Q36" s="44"/>
      <c r="R36" s="44"/>
      <c r="S36" s="44"/>
      <c r="T36" s="44"/>
      <c r="U36" s="44"/>
      <c r="V36" s="6"/>
      <c r="W36" s="6"/>
      <c r="X36" s="6"/>
      <c r="Y36" s="6"/>
      <c r="Z36" s="6"/>
      <c r="AA36" s="6"/>
      <c r="AB36" s="6"/>
    </row>
    <row r="37" ht="13.5" customHeight="1">
      <c r="A37" s="29"/>
      <c r="B37" s="302">
        <v>140.0</v>
      </c>
      <c r="C37" s="245">
        <v>50.0</v>
      </c>
      <c r="D37" s="245" t="s">
        <v>290</v>
      </c>
      <c r="E37" s="303">
        <v>21.0</v>
      </c>
      <c r="F37" s="297"/>
      <c r="G37" s="6"/>
      <c r="H37" s="281" t="s">
        <v>293</v>
      </c>
      <c r="I37" s="284">
        <v>15.0</v>
      </c>
      <c r="J37" s="284">
        <v>120.0</v>
      </c>
      <c r="K37" s="284">
        <v>60.0</v>
      </c>
      <c r="L37" s="285">
        <v>31.7</v>
      </c>
      <c r="M37" s="298" t="s">
        <v>286</v>
      </c>
      <c r="N37" s="6"/>
      <c r="O37" s="6"/>
      <c r="P37" s="44"/>
      <c r="Q37" s="44"/>
      <c r="R37" s="44"/>
      <c r="S37" s="44"/>
      <c r="T37" s="44"/>
      <c r="U37" s="44"/>
      <c r="V37" s="6"/>
      <c r="W37" s="6"/>
      <c r="X37" s="6"/>
      <c r="Y37" s="6"/>
      <c r="Z37" s="6"/>
      <c r="AA37" s="6"/>
      <c r="AB37" s="6"/>
    </row>
    <row r="38" ht="13.5" customHeight="1">
      <c r="A38" s="68"/>
      <c r="B38" s="302">
        <v>100.0</v>
      </c>
      <c r="C38" s="245">
        <v>100.0</v>
      </c>
      <c r="D38" s="245" t="s">
        <v>290</v>
      </c>
      <c r="E38" s="294">
        <v>25.7</v>
      </c>
      <c r="F38" s="291"/>
      <c r="G38" s="6"/>
      <c r="H38" s="281" t="s">
        <v>291</v>
      </c>
      <c r="I38" s="284">
        <v>15.0</v>
      </c>
      <c r="J38" s="284">
        <v>160.0</v>
      </c>
      <c r="K38" s="284">
        <v>80.0</v>
      </c>
      <c r="L38" s="285">
        <v>33.5</v>
      </c>
      <c r="M38" s="298" t="s">
        <v>286</v>
      </c>
      <c r="N38" s="6"/>
      <c r="O38" s="6"/>
      <c r="P38" s="44"/>
      <c r="Q38" s="44"/>
      <c r="R38" s="44"/>
      <c r="S38" s="44"/>
      <c r="T38" s="44"/>
      <c r="U38" s="44"/>
      <c r="V38" s="6"/>
      <c r="W38" s="6"/>
      <c r="X38" s="6"/>
      <c r="Y38" s="6"/>
      <c r="Z38" s="6"/>
      <c r="AA38" s="6"/>
      <c r="AB38" s="6"/>
    </row>
    <row r="39" ht="13.5" customHeight="1">
      <c r="A39" s="304"/>
      <c r="B39" s="305"/>
      <c r="C39" s="305"/>
      <c r="D39" s="305"/>
      <c r="E39" s="306"/>
      <c r="F39" s="6"/>
      <c r="G39" s="6"/>
      <c r="H39" s="281" t="s">
        <v>292</v>
      </c>
      <c r="I39" s="284">
        <v>15.0</v>
      </c>
      <c r="J39" s="284">
        <v>160.0</v>
      </c>
      <c r="K39" s="284">
        <v>80.0</v>
      </c>
      <c r="L39" s="285">
        <v>44.9</v>
      </c>
      <c r="M39" s="298" t="s">
        <v>286</v>
      </c>
      <c r="N39" s="6"/>
      <c r="O39" s="6"/>
      <c r="P39" s="44"/>
      <c r="Q39" s="44"/>
      <c r="R39" s="44"/>
      <c r="S39" s="44"/>
      <c r="T39" s="44"/>
      <c r="U39" s="44"/>
      <c r="V39" s="6"/>
      <c r="W39" s="6"/>
      <c r="X39" s="6"/>
      <c r="Y39" s="6"/>
      <c r="Z39" s="6"/>
      <c r="AA39" s="6"/>
      <c r="AB39" s="6"/>
    </row>
    <row r="40" ht="13.5" customHeight="1">
      <c r="A40" s="301" t="s">
        <v>294</v>
      </c>
      <c r="B40" s="245">
        <v>83.0</v>
      </c>
      <c r="C40" s="245">
        <v>33.0</v>
      </c>
      <c r="D40" s="245" t="s">
        <v>295</v>
      </c>
      <c r="E40" s="307">
        <v>11.95</v>
      </c>
      <c r="F40" s="295" t="s">
        <v>296</v>
      </c>
      <c r="G40" s="6"/>
      <c r="H40" s="281" t="s">
        <v>293</v>
      </c>
      <c r="I40" s="284">
        <v>15.0</v>
      </c>
      <c r="J40" s="284">
        <v>160.0</v>
      </c>
      <c r="K40" s="284">
        <v>80.0</v>
      </c>
      <c r="L40" s="285">
        <v>55.5</v>
      </c>
      <c r="M40" s="298" t="s">
        <v>286</v>
      </c>
      <c r="N40" s="6"/>
      <c r="O40" s="6"/>
      <c r="P40" s="44"/>
      <c r="Q40" s="44"/>
      <c r="R40" s="44"/>
      <c r="S40" s="44"/>
      <c r="T40" s="44"/>
      <c r="U40" s="44"/>
      <c r="V40" s="6"/>
      <c r="W40" s="6"/>
      <c r="X40" s="6"/>
      <c r="Y40" s="6"/>
      <c r="Z40" s="6"/>
      <c r="AA40" s="6"/>
      <c r="AB40" s="6"/>
    </row>
    <row r="41" ht="13.5" customHeight="1">
      <c r="A41" s="29"/>
      <c r="B41" s="245"/>
      <c r="C41" s="245">
        <v>50.0</v>
      </c>
      <c r="D41" s="245" t="s">
        <v>295</v>
      </c>
      <c r="E41" s="294">
        <v>14.46</v>
      </c>
      <c r="F41" s="297"/>
      <c r="G41" s="6"/>
      <c r="H41" s="308"/>
      <c r="I41" s="8"/>
      <c r="J41" s="8"/>
      <c r="K41" s="8"/>
      <c r="L41" s="8"/>
      <c r="M41" s="9"/>
      <c r="N41" s="6"/>
      <c r="O41" s="6"/>
      <c r="P41" s="44"/>
      <c r="Q41" s="44"/>
      <c r="R41" s="44"/>
      <c r="S41" s="44"/>
      <c r="T41" s="44"/>
      <c r="U41" s="44"/>
      <c r="V41" s="6"/>
      <c r="W41" s="6"/>
      <c r="X41" s="6"/>
      <c r="Y41" s="6"/>
      <c r="Z41" s="6"/>
      <c r="AA41" s="6"/>
      <c r="AB41" s="6"/>
    </row>
    <row r="42" ht="13.5" customHeight="1">
      <c r="A42" s="29"/>
      <c r="B42" s="245"/>
      <c r="C42" s="245">
        <v>100.0</v>
      </c>
      <c r="D42" s="245" t="s">
        <v>295</v>
      </c>
      <c r="E42" s="294">
        <v>22.03</v>
      </c>
      <c r="F42" s="297"/>
      <c r="G42" s="6"/>
      <c r="H42" s="281" t="s">
        <v>288</v>
      </c>
      <c r="I42" s="284">
        <v>18.0</v>
      </c>
      <c r="J42" s="284">
        <v>120.0</v>
      </c>
      <c r="K42" s="284">
        <v>60.0</v>
      </c>
      <c r="L42" s="285">
        <v>13.1</v>
      </c>
      <c r="M42" s="300"/>
      <c r="N42" s="6"/>
      <c r="O42" s="6"/>
      <c r="P42" s="44"/>
      <c r="Q42" s="44"/>
      <c r="R42" s="44"/>
      <c r="S42" s="44"/>
      <c r="T42" s="44"/>
      <c r="U42" s="44"/>
      <c r="V42" s="6"/>
      <c r="W42" s="6"/>
      <c r="X42" s="6"/>
      <c r="Y42" s="6"/>
      <c r="Z42" s="6"/>
      <c r="AA42" s="6"/>
      <c r="AB42" s="6"/>
    </row>
    <row r="43" ht="13.5" customHeight="1">
      <c r="A43" s="29"/>
      <c r="B43" s="245">
        <v>97.0</v>
      </c>
      <c r="C43" s="245">
        <v>33.0</v>
      </c>
      <c r="D43" s="245" t="s">
        <v>295</v>
      </c>
      <c r="E43" s="294">
        <v>12.1</v>
      </c>
      <c r="F43" s="297"/>
      <c r="G43" s="6"/>
      <c r="H43" s="281" t="s">
        <v>288</v>
      </c>
      <c r="I43" s="284">
        <v>18.0</v>
      </c>
      <c r="J43" s="284">
        <v>160.0</v>
      </c>
      <c r="K43" s="284">
        <v>80.0</v>
      </c>
      <c r="L43" s="285">
        <v>20.1</v>
      </c>
      <c r="M43" s="298" t="s">
        <v>286</v>
      </c>
      <c r="N43" s="6"/>
      <c r="O43" s="6"/>
      <c r="P43" s="44"/>
      <c r="Q43" s="44"/>
      <c r="R43" s="44"/>
      <c r="S43" s="44"/>
      <c r="T43" s="44"/>
      <c r="U43" s="44"/>
      <c r="V43" s="6"/>
      <c r="W43" s="6"/>
      <c r="X43" s="6"/>
      <c r="Y43" s="6"/>
      <c r="Z43" s="6"/>
      <c r="AA43" s="6"/>
      <c r="AB43" s="6"/>
    </row>
    <row r="44" ht="13.5" customHeight="1">
      <c r="A44" s="29"/>
      <c r="B44" s="245"/>
      <c r="C44" s="245">
        <v>50.0</v>
      </c>
      <c r="D44" s="245" t="s">
        <v>295</v>
      </c>
      <c r="E44" s="294">
        <v>15.2</v>
      </c>
      <c r="F44" s="297"/>
      <c r="G44" s="6"/>
      <c r="H44" s="308"/>
      <c r="I44" s="8"/>
      <c r="J44" s="8"/>
      <c r="K44" s="8"/>
      <c r="L44" s="8"/>
      <c r="M44" s="9"/>
      <c r="N44" s="6"/>
      <c r="O44" s="6"/>
      <c r="P44" s="44"/>
      <c r="Q44" s="44"/>
      <c r="R44" s="44"/>
      <c r="S44" s="44"/>
      <c r="T44" s="44"/>
      <c r="U44" s="44"/>
      <c r="V44" s="6"/>
      <c r="W44" s="6"/>
      <c r="X44" s="6"/>
      <c r="Y44" s="6"/>
      <c r="Z44" s="6"/>
      <c r="AA44" s="6"/>
      <c r="AB44" s="6"/>
    </row>
    <row r="45" ht="13.5" customHeight="1">
      <c r="A45" s="29"/>
      <c r="B45" s="245"/>
      <c r="C45" s="245">
        <v>100.0</v>
      </c>
      <c r="D45" s="245" t="s">
        <v>295</v>
      </c>
      <c r="E45" s="294">
        <v>23.12</v>
      </c>
      <c r="F45" s="297"/>
      <c r="G45" s="6"/>
      <c r="H45" s="281" t="s">
        <v>288</v>
      </c>
      <c r="I45" s="284">
        <v>19.0</v>
      </c>
      <c r="J45" s="284">
        <v>120.0</v>
      </c>
      <c r="K45" s="284">
        <v>60.0</v>
      </c>
      <c r="L45" s="285">
        <v>29.5</v>
      </c>
      <c r="M45" s="298" t="s">
        <v>286</v>
      </c>
      <c r="N45" s="6"/>
      <c r="O45" s="6"/>
      <c r="P45" s="44"/>
      <c r="Q45" s="44"/>
      <c r="R45" s="44"/>
      <c r="S45" s="44"/>
      <c r="T45" s="44"/>
      <c r="U45" s="44"/>
      <c r="V45" s="6"/>
      <c r="W45" s="6"/>
      <c r="X45" s="6"/>
      <c r="Y45" s="6"/>
      <c r="Z45" s="6"/>
      <c r="AA45" s="6"/>
      <c r="AB45" s="6"/>
    </row>
    <row r="46" ht="13.5" customHeight="1">
      <c r="A46" s="29"/>
      <c r="B46" s="245">
        <v>111.0</v>
      </c>
      <c r="C46" s="245">
        <v>33.0</v>
      </c>
      <c r="D46" s="245" t="s">
        <v>295</v>
      </c>
      <c r="E46" s="307">
        <v>12.41</v>
      </c>
      <c r="F46" s="297"/>
      <c r="G46" s="6"/>
      <c r="H46" s="281" t="s">
        <v>297</v>
      </c>
      <c r="I46" s="284">
        <v>19.0</v>
      </c>
      <c r="J46" s="284">
        <v>160.0</v>
      </c>
      <c r="K46" s="284">
        <v>80.0</v>
      </c>
      <c r="L46" s="285">
        <v>51.9</v>
      </c>
      <c r="M46" s="298" t="s">
        <v>286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13.5" customHeight="1">
      <c r="A47" s="29"/>
      <c r="B47" s="245"/>
      <c r="C47" s="245">
        <v>50.0</v>
      </c>
      <c r="D47" s="245" t="s">
        <v>295</v>
      </c>
      <c r="E47" s="307">
        <v>15.5</v>
      </c>
      <c r="F47" s="297"/>
      <c r="G47" s="6"/>
      <c r="H47" s="308"/>
      <c r="I47" s="8"/>
      <c r="J47" s="8"/>
      <c r="K47" s="8"/>
      <c r="L47" s="8"/>
      <c r="M47" s="9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13.5" customHeight="1">
      <c r="A48" s="29"/>
      <c r="B48" s="245"/>
      <c r="C48" s="245">
        <v>66.0</v>
      </c>
      <c r="D48" s="245" t="s">
        <v>295</v>
      </c>
      <c r="E48" s="307">
        <v>19.39</v>
      </c>
      <c r="F48" s="297"/>
      <c r="G48" s="6"/>
      <c r="H48" s="281" t="s">
        <v>298</v>
      </c>
      <c r="I48" s="284">
        <v>22.0</v>
      </c>
      <c r="J48" s="284">
        <v>250.0</v>
      </c>
      <c r="K48" s="284">
        <v>125.0</v>
      </c>
      <c r="L48" s="285">
        <v>21.9</v>
      </c>
      <c r="M48" s="300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13.5" customHeight="1">
      <c r="A49" s="29"/>
      <c r="B49" s="245"/>
      <c r="C49" s="245">
        <v>100.0</v>
      </c>
      <c r="D49" s="245" t="s">
        <v>295</v>
      </c>
      <c r="E49" s="307">
        <v>24.05</v>
      </c>
      <c r="F49" s="297"/>
      <c r="G49" s="6"/>
      <c r="H49" s="281" t="s">
        <v>299</v>
      </c>
      <c r="I49" s="284">
        <v>22.0</v>
      </c>
      <c r="J49" s="284">
        <v>250.0</v>
      </c>
      <c r="K49" s="284">
        <v>67.5</v>
      </c>
      <c r="L49" s="285">
        <v>22.9</v>
      </c>
      <c r="M49" s="300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13.5" customHeight="1">
      <c r="A50" s="29"/>
      <c r="B50" s="245">
        <v>125.0</v>
      </c>
      <c r="C50" s="245">
        <v>33.0</v>
      </c>
      <c r="D50" s="245" t="s">
        <v>295</v>
      </c>
      <c r="E50" s="294">
        <v>13.19</v>
      </c>
      <c r="F50" s="297"/>
      <c r="G50" s="6"/>
      <c r="H50" s="281" t="s">
        <v>285</v>
      </c>
      <c r="I50" s="284">
        <v>22.0</v>
      </c>
      <c r="J50" s="284">
        <v>250.0</v>
      </c>
      <c r="K50" s="284">
        <v>125.0</v>
      </c>
      <c r="L50" s="285">
        <v>30.5</v>
      </c>
      <c r="M50" s="300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13.5" customHeight="1">
      <c r="A51" s="29"/>
      <c r="B51" s="302"/>
      <c r="C51" s="245">
        <v>50.0</v>
      </c>
      <c r="D51" s="245" t="s">
        <v>295</v>
      </c>
      <c r="E51" s="294">
        <v>16.64</v>
      </c>
      <c r="F51" s="297"/>
      <c r="G51" s="6"/>
      <c r="H51" s="281" t="s">
        <v>298</v>
      </c>
      <c r="I51" s="284">
        <v>22.0</v>
      </c>
      <c r="J51" s="284">
        <v>240.0</v>
      </c>
      <c r="K51" s="284">
        <v>125.0</v>
      </c>
      <c r="L51" s="285">
        <v>30.5</v>
      </c>
      <c r="M51" s="300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13.5" customHeight="1">
      <c r="A52" s="29"/>
      <c r="B52" s="245"/>
      <c r="C52" s="245">
        <v>66.0</v>
      </c>
      <c r="D52" s="245" t="s">
        <v>295</v>
      </c>
      <c r="E52" s="294">
        <v>21.77</v>
      </c>
      <c r="F52" s="297"/>
      <c r="G52" s="6"/>
      <c r="H52" s="281" t="s">
        <v>300</v>
      </c>
      <c r="I52" s="284">
        <v>22.0</v>
      </c>
      <c r="J52" s="284">
        <v>240.0</v>
      </c>
      <c r="K52" s="284">
        <v>125.0</v>
      </c>
      <c r="L52" s="285">
        <v>36.9</v>
      </c>
      <c r="M52" s="309" t="s">
        <v>301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13.5" customHeight="1">
      <c r="A53" s="68"/>
      <c r="B53" s="245"/>
      <c r="C53" s="245">
        <v>100.0</v>
      </c>
      <c r="D53" s="245" t="s">
        <v>295</v>
      </c>
      <c r="E53" s="294">
        <v>24.66</v>
      </c>
      <c r="F53" s="291"/>
      <c r="G53" s="6"/>
      <c r="H53" s="310" t="s">
        <v>302</v>
      </c>
      <c r="I53" s="284">
        <v>22.0</v>
      </c>
      <c r="J53" s="284">
        <v>250.0</v>
      </c>
      <c r="K53" s="284">
        <v>125.0</v>
      </c>
      <c r="L53" s="285">
        <v>49.9</v>
      </c>
      <c r="M53" s="309" t="s">
        <v>301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13.5" customHeight="1">
      <c r="A54" s="6"/>
      <c r="B54" s="6"/>
      <c r="C54" s="6"/>
      <c r="D54" s="6"/>
      <c r="E54" s="6"/>
      <c r="F54" s="6"/>
      <c r="G54" s="6"/>
      <c r="H54" s="281" t="s">
        <v>303</v>
      </c>
      <c r="I54" s="284">
        <v>22.0</v>
      </c>
      <c r="J54" s="284">
        <v>250.0</v>
      </c>
      <c r="K54" s="284">
        <v>122.0</v>
      </c>
      <c r="L54" s="285">
        <v>52.5</v>
      </c>
      <c r="M54" s="309" t="s">
        <v>301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3.5" customHeight="1">
      <c r="A55" s="250" t="s">
        <v>304</v>
      </c>
      <c r="B55" s="8"/>
      <c r="C55" s="8"/>
      <c r="D55" s="8"/>
      <c r="E55" s="9"/>
      <c r="F55" s="6"/>
      <c r="G55" s="6"/>
      <c r="H55" s="281" t="s">
        <v>305</v>
      </c>
      <c r="I55" s="284">
        <v>22.0</v>
      </c>
      <c r="J55" s="284">
        <v>250.0</v>
      </c>
      <c r="K55" s="284">
        <v>122.0</v>
      </c>
      <c r="L55" s="285">
        <v>129.9</v>
      </c>
      <c r="M55" s="309" t="s">
        <v>301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3.5" customHeight="1">
      <c r="A56" s="252" t="s">
        <v>306</v>
      </c>
      <c r="B56" s="252" t="s">
        <v>307</v>
      </c>
      <c r="C56" s="264" t="s">
        <v>308</v>
      </c>
      <c r="D56" s="252" t="s">
        <v>279</v>
      </c>
      <c r="E56" s="252" t="s">
        <v>278</v>
      </c>
      <c r="F56" s="6"/>
      <c r="G56" s="6"/>
      <c r="H56" s="281" t="s">
        <v>305</v>
      </c>
      <c r="I56" s="284">
        <v>22.0</v>
      </c>
      <c r="J56" s="311" t="s">
        <v>309</v>
      </c>
      <c r="K56" s="9"/>
      <c r="L56" s="285">
        <v>62.3</v>
      </c>
      <c r="M56" s="300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3.5" customHeight="1">
      <c r="A57" s="253">
        <v>32.0</v>
      </c>
      <c r="B57" s="253">
        <v>1.0</v>
      </c>
      <c r="C57" s="312">
        <v>3.0</v>
      </c>
      <c r="D57" s="313">
        <v>1.7</v>
      </c>
      <c r="E57" s="314" t="s">
        <v>310</v>
      </c>
      <c r="F57" s="295" t="s">
        <v>284</v>
      </c>
      <c r="G57" s="6"/>
      <c r="H57" s="308"/>
      <c r="I57" s="8"/>
      <c r="J57" s="8"/>
      <c r="K57" s="8"/>
      <c r="L57" s="8"/>
      <c r="M57" s="9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3.5" customHeight="1">
      <c r="A58" s="253">
        <v>32.0</v>
      </c>
      <c r="B58" s="253">
        <v>2.0</v>
      </c>
      <c r="C58" s="312">
        <v>3.0</v>
      </c>
      <c r="D58" s="313">
        <v>1.9</v>
      </c>
      <c r="E58" s="314" t="s">
        <v>310</v>
      </c>
      <c r="F58" s="297"/>
      <c r="G58" s="6"/>
      <c r="H58" s="281" t="s">
        <v>311</v>
      </c>
      <c r="I58" s="284">
        <v>27.0</v>
      </c>
      <c r="J58" s="284">
        <v>250.0</v>
      </c>
      <c r="K58" s="284">
        <v>122.0</v>
      </c>
      <c r="L58" s="315">
        <v>139.0</v>
      </c>
      <c r="M58" s="298" t="s">
        <v>286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3.5" customHeight="1">
      <c r="A59" s="253">
        <v>32.0</v>
      </c>
      <c r="B59" s="312">
        <v>1.0</v>
      </c>
      <c r="C59" s="312">
        <v>6.0</v>
      </c>
      <c r="D59" s="316">
        <v>4.2</v>
      </c>
      <c r="E59" s="314" t="s">
        <v>310</v>
      </c>
      <c r="F59" s="297"/>
      <c r="G59" s="6"/>
      <c r="H59" s="308"/>
      <c r="I59" s="8"/>
      <c r="J59" s="8"/>
      <c r="K59" s="8"/>
      <c r="L59" s="8"/>
      <c r="M59" s="9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3.5" customHeight="1">
      <c r="A60" s="253">
        <v>40.0</v>
      </c>
      <c r="B60" s="253">
        <v>1.0</v>
      </c>
      <c r="C60" s="312">
        <v>3.0</v>
      </c>
      <c r="D60" s="313">
        <v>2.2</v>
      </c>
      <c r="E60" s="314" t="s">
        <v>310</v>
      </c>
      <c r="F60" s="297"/>
      <c r="G60" s="6"/>
      <c r="H60" s="281" t="s">
        <v>298</v>
      </c>
      <c r="I60" s="284">
        <v>28.0</v>
      </c>
      <c r="J60" s="284">
        <v>250.0</v>
      </c>
      <c r="K60" s="284">
        <v>125.0</v>
      </c>
      <c r="L60" s="285">
        <v>28.9</v>
      </c>
      <c r="M60" s="30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3.5" customHeight="1">
      <c r="A61" s="253">
        <v>40.0</v>
      </c>
      <c r="B61" s="253">
        <v>2.0</v>
      </c>
      <c r="C61" s="312">
        <v>3.0</v>
      </c>
      <c r="D61" s="313">
        <v>2.5</v>
      </c>
      <c r="E61" s="314" t="s">
        <v>310</v>
      </c>
      <c r="F61" s="297"/>
      <c r="G61" s="6"/>
      <c r="H61" s="310" t="s">
        <v>302</v>
      </c>
      <c r="I61" s="284">
        <v>28.0</v>
      </c>
      <c r="J61" s="284">
        <v>250.0</v>
      </c>
      <c r="K61" s="284">
        <v>125.0</v>
      </c>
      <c r="L61" s="285">
        <v>61.9</v>
      </c>
      <c r="M61" s="317" t="s">
        <v>301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3.5" customHeight="1">
      <c r="A62" s="253">
        <v>40.0</v>
      </c>
      <c r="B62" s="312">
        <v>1.0</v>
      </c>
      <c r="C62" s="312">
        <v>6.0</v>
      </c>
      <c r="D62" s="316">
        <v>4.4</v>
      </c>
      <c r="E62" s="314" t="s">
        <v>310</v>
      </c>
      <c r="F62" s="297"/>
      <c r="G62" s="6"/>
      <c r="H62" s="281" t="s">
        <v>303</v>
      </c>
      <c r="I62" s="284">
        <v>28.0</v>
      </c>
      <c r="J62" s="284">
        <v>250.0</v>
      </c>
      <c r="K62" s="284">
        <v>122.0</v>
      </c>
      <c r="L62" s="285">
        <v>62.9</v>
      </c>
      <c r="M62" s="317" t="s">
        <v>301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3.5" customHeight="1">
      <c r="A63" s="253">
        <v>50.0</v>
      </c>
      <c r="B63" s="253">
        <v>1.0</v>
      </c>
      <c r="C63" s="312">
        <v>3.0</v>
      </c>
      <c r="D63" s="313">
        <v>2.4</v>
      </c>
      <c r="E63" s="314" t="s">
        <v>310</v>
      </c>
      <c r="F63" s="297"/>
      <c r="G63" s="6"/>
      <c r="H63" s="308"/>
      <c r="I63" s="8"/>
      <c r="J63" s="8"/>
      <c r="K63" s="8"/>
      <c r="L63" s="8"/>
      <c r="M63" s="9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3.5" customHeight="1">
      <c r="A64" s="253">
        <v>50.0</v>
      </c>
      <c r="B64" s="253">
        <v>2.0</v>
      </c>
      <c r="C64" s="312">
        <v>3.0</v>
      </c>
      <c r="D64" s="313">
        <v>4.15</v>
      </c>
      <c r="E64" s="314" t="s">
        <v>310</v>
      </c>
      <c r="F64" s="297"/>
      <c r="G64" s="6"/>
      <c r="H64" s="281" t="s">
        <v>312</v>
      </c>
      <c r="I64" s="284">
        <v>30.0</v>
      </c>
      <c r="J64" s="311" t="s">
        <v>309</v>
      </c>
      <c r="K64" s="9"/>
      <c r="L64" s="285">
        <v>75.3</v>
      </c>
      <c r="M64" s="298" t="s">
        <v>286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3.5" customHeight="1">
      <c r="A65" s="253">
        <v>50.0</v>
      </c>
      <c r="B65" s="312">
        <v>1.0</v>
      </c>
      <c r="C65" s="312">
        <v>6.0</v>
      </c>
      <c r="D65" s="316">
        <v>6.15</v>
      </c>
      <c r="E65" s="314" t="s">
        <v>310</v>
      </c>
      <c r="F65" s="297"/>
      <c r="G65" s="6"/>
      <c r="H65" s="281" t="s">
        <v>313</v>
      </c>
      <c r="I65" s="284">
        <v>30.0</v>
      </c>
      <c r="J65" s="284">
        <v>244.0</v>
      </c>
      <c r="K65" s="284">
        <v>122.0</v>
      </c>
      <c r="L65" s="315">
        <v>145.0</v>
      </c>
      <c r="M65" s="30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3.5" customHeight="1">
      <c r="A66" s="253">
        <v>63.0</v>
      </c>
      <c r="B66" s="253">
        <v>1.0</v>
      </c>
      <c r="C66" s="253">
        <v>6.0</v>
      </c>
      <c r="D66" s="313">
        <v>6.3</v>
      </c>
      <c r="E66" s="314" t="s">
        <v>310</v>
      </c>
      <c r="F66" s="297"/>
      <c r="G66" s="6"/>
      <c r="H66" s="281" t="s">
        <v>312</v>
      </c>
      <c r="I66" s="284">
        <v>30.0</v>
      </c>
      <c r="J66" s="284">
        <v>250.0</v>
      </c>
      <c r="K66" s="284">
        <v>122.0</v>
      </c>
      <c r="L66" s="285">
        <v>149.9</v>
      </c>
      <c r="M66" s="298" t="s">
        <v>286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3.5" customHeight="1">
      <c r="A67" s="253">
        <v>80.0</v>
      </c>
      <c r="B67" s="253">
        <v>2.8</v>
      </c>
      <c r="C67" s="253">
        <v>3.0</v>
      </c>
      <c r="D67" s="313">
        <v>8.7</v>
      </c>
      <c r="E67" s="318" t="s">
        <v>314</v>
      </c>
      <c r="F67" s="297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3.5" customHeight="1">
      <c r="A68" s="253">
        <v>100.0</v>
      </c>
      <c r="B68" s="253">
        <v>2.0</v>
      </c>
      <c r="C68" s="253">
        <v>3.0</v>
      </c>
      <c r="D68" s="313">
        <v>5.1</v>
      </c>
      <c r="E68" s="314" t="s">
        <v>310</v>
      </c>
      <c r="F68" s="297"/>
      <c r="G68" s="6"/>
      <c r="H68" s="37" t="s">
        <v>315</v>
      </c>
      <c r="I68" s="8"/>
      <c r="J68" s="8"/>
      <c r="K68" s="8"/>
      <c r="L68" s="9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3.5" customHeight="1">
      <c r="A69" s="253">
        <v>100.0</v>
      </c>
      <c r="B69" s="253">
        <v>2.0</v>
      </c>
      <c r="C69" s="253">
        <v>6.0</v>
      </c>
      <c r="D69" s="313">
        <v>7.85</v>
      </c>
      <c r="E69" s="314" t="s">
        <v>310</v>
      </c>
      <c r="F69" s="291"/>
      <c r="G69" s="6"/>
      <c r="H69" s="319" t="s">
        <v>281</v>
      </c>
      <c r="I69" s="319" t="s">
        <v>277</v>
      </c>
      <c r="J69" s="319" t="s">
        <v>165</v>
      </c>
      <c r="K69" s="319" t="s">
        <v>279</v>
      </c>
      <c r="L69" s="319" t="s">
        <v>278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3.5" customHeight="1">
      <c r="A70" s="320"/>
      <c r="B70" s="305"/>
      <c r="C70" s="305"/>
      <c r="D70" s="305"/>
      <c r="E70" s="306"/>
      <c r="F70" s="6"/>
      <c r="G70" s="6"/>
      <c r="H70" s="40">
        <v>0.5</v>
      </c>
      <c r="I70" s="40">
        <v>50.0</v>
      </c>
      <c r="J70" s="40">
        <v>25.0</v>
      </c>
      <c r="K70" s="321">
        <v>12.79</v>
      </c>
      <c r="L70" s="40" t="s">
        <v>316</v>
      </c>
      <c r="M70" s="295" t="s">
        <v>284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3.5" customHeight="1">
      <c r="A71" s="253">
        <v>80.0</v>
      </c>
      <c r="B71" s="253">
        <v>2.0</v>
      </c>
      <c r="C71" s="253" t="s">
        <v>317</v>
      </c>
      <c r="D71" s="253" t="s">
        <v>318</v>
      </c>
      <c r="E71" s="314" t="s">
        <v>310</v>
      </c>
      <c r="F71" s="322" t="s">
        <v>319</v>
      </c>
      <c r="G71" s="6"/>
      <c r="H71" s="40">
        <v>0.5</v>
      </c>
      <c r="I71" s="40">
        <v>100.0</v>
      </c>
      <c r="J71" s="40">
        <v>20.0</v>
      </c>
      <c r="K71" s="321">
        <v>19.99</v>
      </c>
      <c r="L71" s="40" t="s">
        <v>316</v>
      </c>
      <c r="M71" s="29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3.5" customHeight="1">
      <c r="A72" s="253">
        <v>125.0</v>
      </c>
      <c r="B72" s="253">
        <v>2.0</v>
      </c>
      <c r="C72" s="253" t="s">
        <v>318</v>
      </c>
      <c r="D72" s="253" t="s">
        <v>318</v>
      </c>
      <c r="E72" s="314" t="s">
        <v>310</v>
      </c>
      <c r="F72" s="297"/>
      <c r="G72" s="6"/>
      <c r="H72" s="40">
        <v>0.5</v>
      </c>
      <c r="I72" s="40">
        <v>100.0</v>
      </c>
      <c r="J72" s="40">
        <v>60.0</v>
      </c>
      <c r="K72" s="321">
        <v>49.99</v>
      </c>
      <c r="L72" s="40" t="s">
        <v>316</v>
      </c>
      <c r="M72" s="29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27.75" customHeight="1">
      <c r="A73" s="323" t="s">
        <v>320</v>
      </c>
      <c r="B73" s="8"/>
      <c r="C73" s="8"/>
      <c r="D73" s="8"/>
      <c r="E73" s="324"/>
      <c r="F73" s="291"/>
      <c r="G73" s="6"/>
      <c r="H73" s="299"/>
      <c r="I73" s="8"/>
      <c r="J73" s="8"/>
      <c r="K73" s="8"/>
      <c r="L73" s="9"/>
      <c r="M73" s="297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3.5" customHeight="1">
      <c r="A74" s="6"/>
      <c r="B74" s="6"/>
      <c r="C74" s="6"/>
      <c r="D74" s="6"/>
      <c r="E74" s="6"/>
      <c r="F74" s="6"/>
      <c r="G74" s="6"/>
      <c r="H74" s="40">
        <v>0.8</v>
      </c>
      <c r="I74" s="40">
        <v>100.0</v>
      </c>
      <c r="J74" s="40">
        <v>12.0</v>
      </c>
      <c r="K74" s="321">
        <v>5.49</v>
      </c>
      <c r="L74" s="40" t="s">
        <v>321</v>
      </c>
      <c r="M74" s="297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3.5" customHeight="1">
      <c r="A75" s="6"/>
      <c r="B75" s="6"/>
      <c r="C75" s="6"/>
      <c r="D75" s="6"/>
      <c r="E75" s="6"/>
      <c r="F75" s="6"/>
      <c r="G75" s="6"/>
      <c r="H75" s="40">
        <v>0.8</v>
      </c>
      <c r="I75" s="325">
        <v>50.0</v>
      </c>
      <c r="J75" s="325">
        <v>25.0</v>
      </c>
      <c r="K75" s="326">
        <v>6.49</v>
      </c>
      <c r="L75" s="40" t="s">
        <v>321</v>
      </c>
      <c r="M75" s="297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3.5" customHeight="1">
      <c r="A76" s="56" t="s">
        <v>322</v>
      </c>
      <c r="B76" s="8"/>
      <c r="C76" s="9"/>
      <c r="D76" s="6"/>
      <c r="E76" s="6"/>
      <c r="F76" s="6"/>
      <c r="G76" s="6"/>
      <c r="H76" s="40">
        <v>0.8</v>
      </c>
      <c r="I76" s="40">
        <v>100.0</v>
      </c>
      <c r="J76" s="40">
        <v>20.0</v>
      </c>
      <c r="K76" s="321">
        <v>7.89</v>
      </c>
      <c r="L76" s="40" t="s">
        <v>321</v>
      </c>
      <c r="M76" s="297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3.5" customHeight="1">
      <c r="A77" s="327" t="s">
        <v>212</v>
      </c>
      <c r="B77" s="327" t="s">
        <v>323</v>
      </c>
      <c r="C77" s="327" t="s">
        <v>279</v>
      </c>
      <c r="D77" s="44"/>
      <c r="E77" s="6"/>
      <c r="F77" s="6"/>
      <c r="G77" s="6"/>
      <c r="H77" s="40">
        <v>0.8</v>
      </c>
      <c r="I77" s="40">
        <v>100.0</v>
      </c>
      <c r="J77" s="40">
        <v>60.0</v>
      </c>
      <c r="K77" s="321">
        <v>19.99</v>
      </c>
      <c r="L77" s="40" t="s">
        <v>321</v>
      </c>
      <c r="M77" s="297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3.5" customHeight="1">
      <c r="A78" s="328" t="s">
        <v>324</v>
      </c>
      <c r="B78" s="329">
        <v>110.0</v>
      </c>
      <c r="C78" s="330">
        <v>76.5</v>
      </c>
      <c r="D78" s="331"/>
      <c r="E78" s="6"/>
      <c r="F78" s="6"/>
      <c r="G78" s="6"/>
      <c r="H78" s="299"/>
      <c r="I78" s="8"/>
      <c r="J78" s="8"/>
      <c r="K78" s="8"/>
      <c r="L78" s="9"/>
      <c r="M78" s="297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3.5" customHeight="1">
      <c r="A79" s="29"/>
      <c r="B79" s="329">
        <v>160.0</v>
      </c>
      <c r="C79" s="330">
        <v>89.64</v>
      </c>
      <c r="D79" s="331"/>
      <c r="E79" s="6"/>
      <c r="F79" s="6"/>
      <c r="G79" s="6"/>
      <c r="H79" s="40">
        <v>1.5</v>
      </c>
      <c r="I79" s="40">
        <v>50.0</v>
      </c>
      <c r="J79" s="40">
        <v>25.0</v>
      </c>
      <c r="K79" s="321">
        <v>10.29</v>
      </c>
      <c r="L79" s="40" t="s">
        <v>321</v>
      </c>
      <c r="M79" s="297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3.5" customHeight="1">
      <c r="A80" s="68"/>
      <c r="B80" s="329">
        <v>200.0</v>
      </c>
      <c r="C80" s="330">
        <v>119.34</v>
      </c>
      <c r="D80" s="331"/>
      <c r="E80" s="6"/>
      <c r="F80" s="6"/>
      <c r="G80" s="6"/>
      <c r="H80" s="40">
        <v>1.5</v>
      </c>
      <c r="I80" s="40">
        <v>100.0</v>
      </c>
      <c r="J80" s="40">
        <v>12.0</v>
      </c>
      <c r="K80" s="321">
        <v>10.49</v>
      </c>
      <c r="L80" s="40" t="s">
        <v>321</v>
      </c>
      <c r="M80" s="297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3.5" customHeight="1">
      <c r="A81" s="328" t="s">
        <v>325</v>
      </c>
      <c r="B81" s="329">
        <v>110.0</v>
      </c>
      <c r="C81" s="330">
        <v>3.47</v>
      </c>
      <c r="D81" s="331"/>
      <c r="E81" s="6"/>
      <c r="F81" s="6"/>
      <c r="G81" s="6"/>
      <c r="H81" s="40">
        <v>1.5</v>
      </c>
      <c r="I81" s="40">
        <v>100.0</v>
      </c>
      <c r="J81" s="40">
        <v>60.0</v>
      </c>
      <c r="K81" s="321">
        <v>39.99</v>
      </c>
      <c r="L81" s="40" t="s">
        <v>321</v>
      </c>
      <c r="M81" s="291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3.5" customHeight="1">
      <c r="A82" s="29"/>
      <c r="B82" s="329">
        <v>160.0</v>
      </c>
      <c r="C82" s="330">
        <v>5.92</v>
      </c>
      <c r="D82" s="33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3.5" customHeight="1">
      <c r="A83" s="68"/>
      <c r="B83" s="329">
        <v>200.0</v>
      </c>
      <c r="C83" s="330">
        <v>13.34</v>
      </c>
      <c r="D83" s="331"/>
      <c r="E83" s="6"/>
      <c r="F83" s="6"/>
      <c r="G83" s="6"/>
      <c r="H83" s="44"/>
      <c r="I83" s="332" t="s">
        <v>326</v>
      </c>
      <c r="J83" s="8"/>
      <c r="K83" s="8"/>
      <c r="L83" s="9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3.5" customHeight="1">
      <c r="A84" s="328" t="s">
        <v>327</v>
      </c>
      <c r="B84" s="329">
        <v>110.0</v>
      </c>
      <c r="C84" s="330">
        <v>5.7</v>
      </c>
      <c r="D84" s="331"/>
      <c r="E84" s="6"/>
      <c r="F84" s="6"/>
      <c r="G84" s="6"/>
      <c r="H84" s="44"/>
      <c r="I84" s="333" t="s">
        <v>307</v>
      </c>
      <c r="J84" s="333" t="s">
        <v>8</v>
      </c>
      <c r="K84" s="333" t="s">
        <v>328</v>
      </c>
      <c r="L84" s="333" t="s">
        <v>329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3.5" customHeight="1">
      <c r="A85" s="68"/>
      <c r="B85" s="329">
        <v>160.0</v>
      </c>
      <c r="C85" s="330">
        <v>9.76</v>
      </c>
      <c r="D85" s="331"/>
      <c r="E85" s="44"/>
      <c r="F85" s="44"/>
      <c r="G85" s="6"/>
      <c r="H85" s="44"/>
      <c r="I85" s="334">
        <v>1.0</v>
      </c>
      <c r="J85" s="334">
        <v>5.0</v>
      </c>
      <c r="K85" s="335">
        <v>0.65</v>
      </c>
      <c r="L85" s="336">
        <v>3.8</v>
      </c>
      <c r="M85" s="295" t="s">
        <v>284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3.5" customHeight="1">
      <c r="A86" s="337" t="s">
        <v>330</v>
      </c>
      <c r="B86" s="338"/>
      <c r="C86" s="339">
        <v>10.74</v>
      </c>
      <c r="D86" s="340"/>
      <c r="E86" s="44"/>
      <c r="F86" s="44"/>
      <c r="G86" s="6"/>
      <c r="H86" s="44"/>
      <c r="I86" s="334">
        <v>1.0</v>
      </c>
      <c r="J86" s="334">
        <v>7.0</v>
      </c>
      <c r="K86" s="335">
        <v>0.96</v>
      </c>
      <c r="L86" s="341"/>
      <c r="M86" s="297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3.5" customHeight="1">
      <c r="A87" s="337" t="s">
        <v>331</v>
      </c>
      <c r="B87" s="338"/>
      <c r="C87" s="339">
        <v>18.83</v>
      </c>
      <c r="D87" s="340"/>
      <c r="E87" s="44"/>
      <c r="F87" s="44"/>
      <c r="G87" s="6"/>
      <c r="H87" s="44"/>
      <c r="I87" s="334">
        <v>1.0</v>
      </c>
      <c r="J87" s="334">
        <v>10.0</v>
      </c>
      <c r="K87" s="335">
        <v>1.5</v>
      </c>
      <c r="L87" s="336">
        <v>7.9</v>
      </c>
      <c r="M87" s="297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3.5" customHeight="1">
      <c r="A88" s="44"/>
      <c r="B88" s="44"/>
      <c r="C88" s="44"/>
      <c r="D88" s="340"/>
      <c r="E88" s="44"/>
      <c r="F88" s="44"/>
      <c r="G88" s="6"/>
      <c r="H88" s="44"/>
      <c r="I88" s="334">
        <v>1.0</v>
      </c>
      <c r="J88" s="334">
        <v>12.0</v>
      </c>
      <c r="K88" s="335">
        <v>2.3</v>
      </c>
      <c r="L88" s="336">
        <v>11.1</v>
      </c>
      <c r="M88" s="297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3.5" customHeight="1">
      <c r="A89" s="44"/>
      <c r="B89" s="340"/>
      <c r="C89" s="44"/>
      <c r="D89" s="44"/>
      <c r="E89" s="44"/>
      <c r="F89" s="44"/>
      <c r="G89" s="6"/>
      <c r="H89" s="44"/>
      <c r="I89" s="334">
        <v>1.0</v>
      </c>
      <c r="J89" s="334">
        <v>14.0</v>
      </c>
      <c r="K89" s="335">
        <v>2.8</v>
      </c>
      <c r="L89" s="336">
        <v>12.95</v>
      </c>
      <c r="M89" s="291"/>
      <c r="N89" s="6"/>
      <c r="O89" s="6"/>
      <c r="P89" s="44"/>
      <c r="Q89" s="44"/>
      <c r="R89" s="44"/>
      <c r="S89" s="44"/>
      <c r="T89" s="44"/>
      <c r="U89" s="6"/>
      <c r="V89" s="6"/>
      <c r="W89" s="6"/>
      <c r="X89" s="6"/>
      <c r="Y89" s="6"/>
      <c r="Z89" s="6"/>
      <c r="AA89" s="6"/>
      <c r="AB89" s="6"/>
    </row>
    <row r="90" ht="13.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</row>
    <row r="91" ht="13.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</row>
    <row r="92" ht="13.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</row>
    <row r="93" ht="13.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</row>
    <row r="94" ht="13.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</row>
    <row r="95" ht="13.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</row>
    <row r="96" ht="13.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</row>
    <row r="97" ht="13.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</row>
    <row r="98" ht="13.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</row>
    <row r="99" ht="13.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</row>
    <row r="100" ht="13.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</row>
    <row r="101" ht="13.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</row>
    <row r="102" ht="13.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</row>
    <row r="103" ht="13.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</row>
    <row r="104" ht="13.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</row>
    <row r="105" ht="13.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</row>
    <row r="106" ht="13.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</row>
    <row r="107" ht="13.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</row>
    <row r="108" ht="13.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</row>
    <row r="109" ht="13.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</row>
    <row r="110" ht="13.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</row>
    <row r="111" ht="13.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</row>
    <row r="112" ht="13.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</row>
    <row r="113" ht="13.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 ht="13.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 ht="13.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</row>
    <row r="116" ht="13.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</row>
    <row r="117" ht="13.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</row>
    <row r="118" ht="13.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 ht="13.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</row>
    <row r="120" ht="13.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</row>
    <row r="121" ht="13.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</row>
    <row r="122" ht="13.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</row>
    <row r="123" ht="13.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</row>
    <row r="124" ht="13.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</row>
    <row r="125" ht="13.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</row>
    <row r="126" ht="13.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</row>
    <row r="127" ht="13.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</row>
    <row r="128" ht="13.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</row>
    <row r="129" ht="13.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</row>
    <row r="130" ht="13.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</row>
    <row r="131" ht="13.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</row>
    <row r="132" ht="13.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</row>
    <row r="133" ht="13.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</row>
    <row r="134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</row>
    <row r="135" ht="13.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</row>
    <row r="136" ht="13.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</row>
    <row r="137" ht="13.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</row>
    <row r="138" ht="13.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</row>
    <row r="139" ht="13.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</row>
    <row r="140" ht="13.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</row>
    <row r="141" ht="13.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</row>
    <row r="142" ht="13.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</row>
    <row r="143" ht="13.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</row>
    <row r="144" ht="13.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</row>
    <row r="145" ht="13.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</row>
    <row r="146" ht="13.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</row>
    <row r="147" ht="13.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</row>
    <row r="148" ht="13.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</row>
    <row r="149" ht="13.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</row>
    <row r="150" ht="13.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</row>
    <row r="151" ht="13.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</row>
    <row r="152" ht="13.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</row>
    <row r="153" ht="13.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</row>
    <row r="154" ht="13.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</row>
    <row r="155" ht="13.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</row>
    <row r="156" ht="13.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</row>
    <row r="157" ht="13.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</row>
    <row r="158" ht="13.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</row>
    <row r="159" ht="13.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</row>
    <row r="160" ht="13.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</row>
    <row r="161" ht="13.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</row>
    <row r="162" ht="13.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</row>
    <row r="163" ht="13.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</row>
    <row r="164" ht="13.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</row>
    <row r="165" ht="13.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</row>
    <row r="166" ht="13.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</row>
    <row r="167" ht="13.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</row>
    <row r="168" ht="13.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</row>
    <row r="169" ht="13.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</row>
    <row r="170" ht="13.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</row>
    <row r="171" ht="13.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</row>
    <row r="172" ht="13.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</row>
    <row r="173" ht="13.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</row>
    <row r="174" ht="13.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</row>
    <row r="175" ht="13.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</row>
    <row r="176" ht="13.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</row>
    <row r="177" ht="13.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</row>
    <row r="178" ht="13.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</row>
    <row r="179" ht="13.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</row>
    <row r="180" ht="13.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</row>
    <row r="181" ht="13.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</row>
    <row r="182" ht="13.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</row>
    <row r="183" ht="13.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</row>
    <row r="184" ht="13.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</row>
    <row r="185" ht="13.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</row>
    <row r="186" ht="13.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</row>
    <row r="187" ht="13.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</row>
    <row r="188" ht="13.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</row>
    <row r="189" ht="13.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</row>
    <row r="190" ht="13.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</row>
    <row r="191" ht="13.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</row>
    <row r="192" ht="13.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</row>
    <row r="193" ht="13.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</row>
    <row r="194" ht="13.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</row>
    <row r="195" ht="13.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</row>
    <row r="196" ht="13.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</row>
    <row r="197" ht="13.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</row>
    <row r="198" ht="13.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</row>
    <row r="199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</row>
    <row r="200" ht="13.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</row>
    <row r="201" ht="13.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</row>
    <row r="202" ht="13.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</row>
    <row r="203" ht="13.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</row>
    <row r="204" ht="13.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</row>
    <row r="205" ht="13.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</row>
    <row r="206" ht="13.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</row>
    <row r="207" ht="13.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</row>
    <row r="208" ht="13.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</row>
    <row r="209" ht="13.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</row>
    <row r="210" ht="13.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</row>
    <row r="211" ht="13.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</row>
    <row r="212" ht="13.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</row>
    <row r="213" ht="13.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</row>
    <row r="214" ht="13.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</row>
    <row r="215" ht="13.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</row>
    <row r="216" ht="13.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</row>
    <row r="217" ht="13.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</row>
    <row r="218" ht="13.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</row>
    <row r="219" ht="13.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</row>
    <row r="220" ht="13.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</row>
    <row r="221" ht="13.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</row>
    <row r="222" ht="13.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</row>
    <row r="223" ht="13.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</row>
    <row r="224" ht="13.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</row>
    <row r="225" ht="13.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</row>
    <row r="226" ht="13.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</row>
    <row r="227" ht="13.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</row>
    <row r="228" ht="13.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</row>
    <row r="229" ht="13.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</row>
    <row r="230" ht="13.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</row>
    <row r="231" ht="13.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</row>
    <row r="232" ht="13.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</row>
    <row r="233" ht="13.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</row>
    <row r="234" ht="13.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</row>
    <row r="235" ht="13.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</row>
    <row r="236" ht="13.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</row>
    <row r="237" ht="13.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</row>
    <row r="238" ht="13.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</row>
    <row r="239" ht="13.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</row>
    <row r="240" ht="13.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</row>
    <row r="241" ht="13.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</row>
    <row r="242" ht="13.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</row>
    <row r="243" ht="13.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</row>
    <row r="244" ht="13.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</row>
    <row r="245" ht="13.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</row>
    <row r="246" ht="13.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</row>
    <row r="247" ht="13.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</row>
    <row r="248" ht="13.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</row>
    <row r="249" ht="13.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</row>
    <row r="250" ht="13.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</row>
    <row r="251" ht="13.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</row>
    <row r="252" ht="13.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</row>
    <row r="253" ht="13.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</row>
    <row r="254" ht="13.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</row>
    <row r="255" ht="13.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</row>
    <row r="256" ht="13.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</row>
    <row r="257" ht="13.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</row>
    <row r="258" ht="13.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</row>
    <row r="259" ht="13.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</row>
    <row r="260" ht="13.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</row>
    <row r="261" ht="13.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</row>
    <row r="262" ht="13.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</row>
    <row r="263" ht="13.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</row>
    <row r="264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</row>
    <row r="265" ht="13.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</row>
    <row r="266" ht="13.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</row>
    <row r="267" ht="13.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</row>
    <row r="268" ht="13.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</row>
    <row r="269" ht="13.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</row>
    <row r="270" ht="13.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</row>
    <row r="271" ht="13.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</row>
    <row r="272" ht="13.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</row>
    <row r="273" ht="13.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</row>
    <row r="274" ht="13.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</row>
    <row r="275" ht="13.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</row>
    <row r="276" ht="13.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</row>
    <row r="277" ht="13.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</row>
    <row r="278" ht="13.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</row>
    <row r="279" ht="13.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</row>
    <row r="280" ht="13.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</row>
    <row r="281" ht="13.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</row>
    <row r="282" ht="13.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</row>
    <row r="283" ht="13.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</row>
    <row r="284" ht="13.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</row>
    <row r="285" ht="13.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</row>
    <row r="286" ht="13.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</row>
    <row r="287" ht="13.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</row>
    <row r="288" ht="13.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</row>
    <row r="289" ht="13.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</row>
    <row r="290" ht="13.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</row>
    <row r="291" ht="13.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</row>
    <row r="292" ht="13.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</row>
    <row r="293" ht="13.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</row>
    <row r="294" ht="13.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</row>
    <row r="295" ht="13.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</row>
    <row r="296" ht="13.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</row>
    <row r="297" ht="13.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</row>
    <row r="298" ht="13.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</row>
    <row r="299" ht="13.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</row>
    <row r="300" ht="13.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</row>
    <row r="301" ht="13.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</row>
    <row r="302" ht="13.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</row>
    <row r="303" ht="13.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</row>
    <row r="304" ht="13.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</row>
    <row r="305" ht="13.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</row>
    <row r="306" ht="13.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</row>
    <row r="307" ht="13.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</row>
    <row r="308" ht="13.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</row>
    <row r="309" ht="13.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</row>
    <row r="310" ht="13.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</row>
    <row r="311" ht="13.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</row>
    <row r="312" ht="13.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</row>
    <row r="313" ht="13.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</row>
    <row r="314" ht="13.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</row>
    <row r="315" ht="13.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</row>
    <row r="316" ht="13.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</row>
    <row r="317" ht="13.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</row>
    <row r="318" ht="13.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</row>
    <row r="319" ht="13.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</row>
    <row r="320" ht="13.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</row>
    <row r="321" ht="13.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</row>
    <row r="322" ht="13.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</row>
    <row r="323" ht="13.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</row>
    <row r="324" ht="13.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</row>
    <row r="325" ht="13.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</row>
    <row r="326" ht="13.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</row>
    <row r="327" ht="13.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</row>
    <row r="328" ht="13.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</row>
    <row r="329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</row>
    <row r="330" ht="13.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</row>
    <row r="331" ht="13.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</row>
    <row r="332" ht="13.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</row>
    <row r="333" ht="13.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</row>
    <row r="334" ht="13.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</row>
    <row r="335" ht="13.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</row>
    <row r="336" ht="13.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</row>
    <row r="337" ht="13.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</row>
    <row r="338" ht="13.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</row>
    <row r="339" ht="13.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</row>
    <row r="340" ht="13.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</row>
    <row r="341" ht="13.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</row>
    <row r="342" ht="13.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</row>
    <row r="343" ht="13.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</row>
    <row r="344" ht="13.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</row>
    <row r="345" ht="13.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</row>
    <row r="346" ht="13.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</row>
    <row r="347" ht="13.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</row>
    <row r="348" ht="13.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</row>
    <row r="349" ht="13.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</row>
    <row r="350" ht="13.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</row>
    <row r="351" ht="13.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</row>
    <row r="352" ht="13.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</row>
    <row r="353" ht="13.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</row>
    <row r="354" ht="13.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</row>
    <row r="355" ht="13.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</row>
    <row r="356" ht="13.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</row>
    <row r="357" ht="13.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</row>
    <row r="358" ht="13.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</row>
    <row r="359" ht="13.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</row>
    <row r="360" ht="13.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</row>
    <row r="361" ht="13.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</row>
    <row r="362" ht="13.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</row>
    <row r="363" ht="13.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</row>
    <row r="364" ht="13.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</row>
    <row r="365" ht="13.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</row>
    <row r="366" ht="13.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</row>
    <row r="367" ht="13.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</row>
    <row r="368" ht="13.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</row>
    <row r="369" ht="13.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</row>
    <row r="370" ht="13.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</row>
    <row r="371" ht="13.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</row>
    <row r="372" ht="13.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</row>
    <row r="373" ht="13.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</row>
    <row r="374" ht="13.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</row>
    <row r="375" ht="13.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</row>
    <row r="376" ht="13.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</row>
    <row r="377" ht="13.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</row>
    <row r="378" ht="13.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</row>
    <row r="379" ht="13.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</row>
    <row r="380" ht="13.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</row>
    <row r="381" ht="13.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</row>
    <row r="382" ht="13.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</row>
    <row r="383" ht="13.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</row>
    <row r="384" ht="13.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</row>
    <row r="385" ht="13.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</row>
    <row r="386" ht="13.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</row>
    <row r="387" ht="13.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</row>
    <row r="388" ht="13.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</row>
    <row r="389" ht="13.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</row>
    <row r="390" ht="13.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</row>
    <row r="391" ht="13.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</row>
    <row r="392" ht="13.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</row>
    <row r="393" ht="13.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</row>
    <row r="394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</row>
    <row r="395" ht="13.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</row>
    <row r="396" ht="13.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</row>
    <row r="397" ht="13.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</row>
    <row r="398" ht="13.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</row>
    <row r="399" ht="13.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</row>
    <row r="400" ht="13.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</row>
    <row r="401" ht="13.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</row>
    <row r="402" ht="13.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</row>
    <row r="403" ht="13.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</row>
    <row r="404" ht="13.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</row>
    <row r="405" ht="13.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</row>
    <row r="406" ht="13.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</row>
    <row r="407" ht="13.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</row>
    <row r="408" ht="13.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</row>
    <row r="409" ht="13.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</row>
    <row r="410" ht="13.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</row>
    <row r="411" ht="13.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</row>
    <row r="412" ht="13.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</row>
    <row r="413" ht="13.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</row>
    <row r="414" ht="13.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</row>
    <row r="415" ht="13.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</row>
    <row r="416" ht="13.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</row>
    <row r="417" ht="13.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</row>
    <row r="418" ht="13.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</row>
    <row r="419" ht="13.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</row>
    <row r="420" ht="13.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</row>
    <row r="421" ht="13.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</row>
    <row r="422" ht="13.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</row>
    <row r="423" ht="13.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</row>
    <row r="424" ht="13.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</row>
    <row r="425" ht="13.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</row>
    <row r="426" ht="13.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 ht="13.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 ht="13.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 ht="13.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 ht="13.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 ht="13.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 ht="13.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 ht="13.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 ht="13.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 ht="13.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 ht="13.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 ht="13.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 ht="13.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 ht="13.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</row>
    <row r="440" ht="13.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</row>
    <row r="441" ht="13.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</row>
    <row r="442" ht="13.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</row>
    <row r="443" ht="13.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</row>
    <row r="444" ht="13.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</row>
    <row r="445" ht="13.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</row>
    <row r="446" ht="13.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</row>
    <row r="447" ht="13.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</row>
    <row r="448" ht="13.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</row>
    <row r="449" ht="13.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</row>
    <row r="450" ht="13.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</row>
    <row r="451" ht="13.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</row>
    <row r="452" ht="13.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</row>
    <row r="453" ht="13.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</row>
    <row r="454" ht="13.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</row>
    <row r="455" ht="13.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</row>
    <row r="456" ht="13.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</row>
    <row r="457" ht="13.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</row>
    <row r="458" ht="13.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</row>
    <row r="459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</row>
    <row r="460" ht="13.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</row>
    <row r="461" ht="13.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</row>
    <row r="462" ht="13.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</row>
    <row r="463" ht="13.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</row>
    <row r="464" ht="13.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</row>
    <row r="465" ht="13.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</row>
    <row r="466" ht="13.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</row>
    <row r="467" ht="13.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</row>
    <row r="468" ht="13.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</row>
    <row r="469" ht="13.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</row>
    <row r="470" ht="13.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</row>
    <row r="471" ht="13.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</row>
    <row r="472" ht="13.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</row>
    <row r="473" ht="13.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</row>
    <row r="474" ht="13.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</row>
    <row r="475" ht="13.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</row>
    <row r="476" ht="13.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</row>
    <row r="477" ht="13.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</row>
    <row r="478" ht="13.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</row>
    <row r="479" ht="13.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</row>
    <row r="480" ht="13.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</row>
    <row r="481" ht="13.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</row>
    <row r="482" ht="13.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</row>
    <row r="483" ht="13.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</row>
    <row r="484" ht="13.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</row>
    <row r="485" ht="13.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</row>
    <row r="486" ht="13.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</row>
    <row r="487" ht="13.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</row>
    <row r="488" ht="13.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</row>
    <row r="489" ht="13.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</row>
    <row r="490" ht="13.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</row>
    <row r="491" ht="13.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</row>
    <row r="492" ht="13.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</row>
    <row r="493" ht="13.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</row>
    <row r="494" ht="13.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</row>
    <row r="495" ht="13.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</row>
    <row r="496" ht="13.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</row>
    <row r="497" ht="13.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</row>
    <row r="498" ht="13.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</row>
    <row r="499" ht="13.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</row>
    <row r="500" ht="13.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</row>
    <row r="501" ht="13.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</row>
    <row r="502" ht="13.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</row>
    <row r="503" ht="13.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</row>
    <row r="504" ht="13.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</row>
    <row r="505" ht="13.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</row>
    <row r="506" ht="13.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</row>
    <row r="507" ht="13.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</row>
    <row r="508" ht="13.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</row>
    <row r="509" ht="13.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</row>
    <row r="510" ht="13.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</row>
    <row r="511" ht="13.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</row>
    <row r="512" ht="13.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</row>
    <row r="513" ht="13.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</row>
    <row r="514" ht="13.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</row>
    <row r="515" ht="13.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</row>
    <row r="516" ht="13.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</row>
    <row r="517" ht="13.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</row>
    <row r="518" ht="13.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</row>
    <row r="519" ht="13.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</row>
    <row r="520" ht="13.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</row>
    <row r="521" ht="13.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</row>
    <row r="522" ht="13.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</row>
    <row r="523" ht="13.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</row>
    <row r="524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</row>
    <row r="525" ht="13.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</row>
    <row r="526" ht="13.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</row>
    <row r="527" ht="13.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</row>
    <row r="528" ht="13.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</row>
    <row r="529" ht="13.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</row>
    <row r="530" ht="13.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</row>
    <row r="531" ht="13.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</row>
    <row r="532" ht="13.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</row>
    <row r="533" ht="13.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</row>
    <row r="534" ht="13.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</row>
    <row r="535" ht="13.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</row>
    <row r="536" ht="13.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</row>
    <row r="537" ht="13.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</row>
    <row r="538" ht="13.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</row>
    <row r="539" ht="13.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</row>
    <row r="540" ht="13.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</row>
    <row r="541" ht="13.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</row>
    <row r="542" ht="13.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</row>
    <row r="543" ht="13.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</row>
    <row r="544" ht="13.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</row>
    <row r="545" ht="13.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</row>
    <row r="546" ht="13.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</row>
    <row r="547" ht="13.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</row>
    <row r="548" ht="13.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</row>
    <row r="549" ht="13.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</row>
    <row r="550" ht="13.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</row>
    <row r="551" ht="13.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</row>
    <row r="552" ht="13.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</row>
    <row r="553" ht="13.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</row>
    <row r="554" ht="13.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</row>
    <row r="555" ht="13.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</row>
    <row r="556" ht="13.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</row>
    <row r="557" ht="13.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</row>
    <row r="558" ht="13.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</row>
    <row r="559" ht="13.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</row>
    <row r="560" ht="13.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</row>
    <row r="561" ht="13.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</row>
    <row r="562" ht="13.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</row>
    <row r="563" ht="13.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</row>
    <row r="564" ht="13.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</row>
    <row r="565" ht="13.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</row>
    <row r="566" ht="13.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</row>
    <row r="567" ht="13.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</row>
    <row r="568" ht="13.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</row>
    <row r="569" ht="13.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</row>
    <row r="570" ht="13.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</row>
    <row r="571" ht="13.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</row>
    <row r="572" ht="13.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</row>
    <row r="573" ht="13.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</row>
    <row r="574" ht="13.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</row>
    <row r="575" ht="13.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</row>
    <row r="576" ht="13.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</row>
    <row r="577" ht="13.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</row>
    <row r="578" ht="13.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</row>
    <row r="579" ht="13.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</row>
    <row r="580" ht="13.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</row>
    <row r="581" ht="13.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</row>
    <row r="582" ht="13.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</row>
    <row r="583" ht="13.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</row>
    <row r="584" ht="13.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</row>
    <row r="585" ht="13.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</row>
    <row r="586" ht="13.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</row>
    <row r="587" ht="13.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</row>
    <row r="588" ht="13.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</row>
    <row r="589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</row>
    <row r="590" ht="13.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</row>
    <row r="591" ht="13.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</row>
    <row r="592" ht="13.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</row>
    <row r="593" ht="13.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</row>
    <row r="594" ht="13.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</row>
    <row r="595" ht="13.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</row>
    <row r="596" ht="13.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</row>
    <row r="597" ht="13.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</row>
    <row r="598" ht="13.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</row>
    <row r="599" ht="13.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</row>
    <row r="600" ht="13.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</row>
    <row r="601" ht="13.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</row>
    <row r="602" ht="13.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</row>
    <row r="603" ht="13.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</row>
    <row r="604" ht="13.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</row>
    <row r="605" ht="13.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</row>
    <row r="606" ht="13.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</row>
    <row r="607" ht="13.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</row>
    <row r="608" ht="13.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</row>
    <row r="609" ht="13.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</row>
    <row r="610" ht="13.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</row>
    <row r="611" ht="13.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</row>
    <row r="612" ht="13.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</row>
    <row r="613" ht="13.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</row>
    <row r="614" ht="13.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</row>
    <row r="615" ht="13.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</row>
    <row r="616" ht="13.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</row>
    <row r="617" ht="13.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</row>
    <row r="618" ht="13.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</row>
    <row r="619" ht="13.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</row>
    <row r="620" ht="13.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</row>
    <row r="621" ht="13.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</row>
    <row r="622" ht="13.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</row>
    <row r="623" ht="13.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</row>
    <row r="624" ht="13.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</row>
    <row r="625" ht="13.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</row>
    <row r="626" ht="13.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</row>
    <row r="627" ht="13.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</row>
    <row r="628" ht="13.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</row>
    <row r="629" ht="13.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</row>
    <row r="630" ht="13.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</row>
    <row r="631" ht="13.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</row>
    <row r="632" ht="13.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</row>
    <row r="633" ht="13.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</row>
    <row r="634" ht="13.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</row>
    <row r="635" ht="13.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</row>
    <row r="636" ht="13.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</row>
    <row r="637" ht="13.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</row>
    <row r="638" ht="13.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</row>
    <row r="639" ht="13.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</row>
    <row r="640" ht="13.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</row>
    <row r="641" ht="13.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</row>
    <row r="642" ht="13.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</row>
    <row r="643" ht="13.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</row>
    <row r="644" ht="13.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</row>
    <row r="645" ht="13.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</row>
    <row r="646" ht="13.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</row>
    <row r="647" ht="13.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</row>
    <row r="648" ht="13.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</row>
    <row r="649" ht="13.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</row>
    <row r="650" ht="13.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</row>
    <row r="651" ht="13.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</row>
    <row r="652" ht="13.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</row>
    <row r="653" ht="13.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</row>
    <row r="654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</row>
    <row r="655" ht="13.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</row>
    <row r="656" ht="13.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</row>
    <row r="657" ht="13.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</row>
    <row r="658" ht="13.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</row>
    <row r="659" ht="13.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</row>
    <row r="660" ht="13.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</row>
    <row r="661" ht="13.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</row>
    <row r="662" ht="13.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</row>
    <row r="663" ht="13.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</row>
    <row r="664" ht="13.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</row>
    <row r="665" ht="13.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</row>
    <row r="666" ht="13.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</row>
    <row r="667" ht="13.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</row>
    <row r="668" ht="13.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</row>
    <row r="669" ht="13.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</row>
    <row r="670" ht="13.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</row>
    <row r="671" ht="13.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</row>
    <row r="672" ht="13.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</row>
    <row r="673" ht="13.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</row>
    <row r="674" ht="13.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</row>
    <row r="675" ht="13.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</row>
    <row r="676" ht="13.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</row>
    <row r="677" ht="13.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</row>
    <row r="678" ht="13.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</row>
    <row r="679" ht="13.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</row>
    <row r="680" ht="13.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</row>
    <row r="681" ht="13.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</row>
    <row r="682" ht="13.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</row>
    <row r="683" ht="13.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</row>
    <row r="684" ht="13.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</row>
    <row r="685" ht="13.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</row>
    <row r="686" ht="13.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</row>
    <row r="687" ht="13.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</row>
    <row r="688" ht="13.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</row>
    <row r="689" ht="13.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</row>
    <row r="690" ht="13.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</row>
    <row r="691" ht="13.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</row>
    <row r="692" ht="13.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</row>
    <row r="693" ht="13.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</row>
    <row r="694" ht="13.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</row>
    <row r="695" ht="13.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</row>
    <row r="696" ht="13.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</row>
    <row r="697" ht="13.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</row>
    <row r="698" ht="13.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</row>
    <row r="699" ht="13.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</row>
    <row r="700" ht="13.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</row>
    <row r="701" ht="13.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</row>
    <row r="702" ht="13.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</row>
    <row r="703" ht="13.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</row>
    <row r="704" ht="13.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</row>
    <row r="705" ht="13.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</row>
    <row r="706" ht="13.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</row>
    <row r="707" ht="13.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</row>
    <row r="708" ht="13.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</row>
    <row r="709" ht="13.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</row>
    <row r="710" ht="13.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</row>
    <row r="711" ht="13.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</row>
    <row r="712" ht="13.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</row>
    <row r="713" ht="13.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</row>
    <row r="714" ht="13.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</row>
    <row r="715" ht="13.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</row>
    <row r="716" ht="13.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</row>
    <row r="717" ht="13.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</row>
    <row r="718" ht="13.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</row>
    <row r="719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</row>
    <row r="720" ht="13.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</row>
    <row r="721" ht="13.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</row>
    <row r="722" ht="13.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</row>
    <row r="723" ht="13.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</row>
    <row r="724" ht="13.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</row>
    <row r="725" ht="13.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</row>
    <row r="726" ht="13.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</row>
    <row r="727" ht="13.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</row>
    <row r="728" ht="13.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</row>
    <row r="729" ht="13.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</row>
    <row r="730" ht="13.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</row>
    <row r="731" ht="13.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</row>
    <row r="732" ht="13.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</row>
    <row r="733" ht="13.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</row>
    <row r="734" ht="13.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</row>
    <row r="735" ht="13.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</row>
    <row r="736" ht="13.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</row>
    <row r="737" ht="13.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</row>
    <row r="738" ht="13.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</row>
    <row r="739" ht="13.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</row>
    <row r="740" ht="13.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</row>
    <row r="741" ht="13.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</row>
    <row r="742" ht="13.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</row>
    <row r="743" ht="13.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</row>
    <row r="744" ht="13.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</row>
    <row r="745" ht="13.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</row>
    <row r="746" ht="13.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</row>
    <row r="747" ht="13.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</row>
    <row r="748" ht="13.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</row>
    <row r="749" ht="13.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</row>
    <row r="750" ht="13.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</row>
    <row r="751" ht="13.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</row>
    <row r="752" ht="13.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</row>
    <row r="753" ht="13.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</row>
    <row r="754" ht="13.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</row>
    <row r="755" ht="13.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</row>
    <row r="756" ht="13.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</row>
    <row r="757" ht="13.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</row>
    <row r="758" ht="13.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</row>
    <row r="759" ht="13.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</row>
    <row r="760" ht="13.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</row>
    <row r="761" ht="13.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</row>
    <row r="762" ht="13.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</row>
    <row r="763" ht="13.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</row>
    <row r="764" ht="13.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</row>
    <row r="765" ht="13.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</row>
    <row r="766" ht="13.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</row>
    <row r="767" ht="13.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</row>
    <row r="768" ht="13.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</row>
    <row r="769" ht="13.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</row>
    <row r="770" ht="13.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</row>
    <row r="771" ht="13.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</row>
    <row r="772" ht="13.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</row>
    <row r="773" ht="13.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</row>
    <row r="774" ht="13.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</row>
    <row r="775" ht="13.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</row>
    <row r="776" ht="13.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</row>
    <row r="777" ht="13.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</row>
    <row r="778" ht="13.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</row>
    <row r="779" ht="13.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</row>
    <row r="780" ht="13.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</row>
    <row r="781" ht="13.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</row>
    <row r="782" ht="13.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</row>
    <row r="783" ht="13.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</row>
    <row r="784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</row>
    <row r="785" ht="13.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</row>
    <row r="786" ht="13.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</row>
    <row r="787" ht="13.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</row>
    <row r="788" ht="13.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</row>
    <row r="789" ht="13.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</row>
    <row r="790" ht="13.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</row>
    <row r="791" ht="13.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</row>
    <row r="792" ht="13.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</row>
    <row r="793" ht="13.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</row>
    <row r="794" ht="13.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</row>
    <row r="795" ht="13.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</row>
    <row r="796" ht="13.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</row>
    <row r="797" ht="13.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</row>
    <row r="798" ht="13.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</row>
    <row r="799" ht="13.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</row>
    <row r="800" ht="13.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</row>
    <row r="801" ht="13.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</row>
    <row r="802" ht="13.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</row>
    <row r="803" ht="13.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</row>
    <row r="804" ht="13.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</row>
    <row r="805" ht="13.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</row>
    <row r="806" ht="13.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</row>
    <row r="807" ht="13.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</row>
    <row r="808" ht="13.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</row>
    <row r="809" ht="13.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</row>
    <row r="810" ht="13.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</row>
    <row r="811" ht="13.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</row>
    <row r="812" ht="13.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</row>
    <row r="813" ht="13.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</row>
    <row r="814" ht="13.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</row>
    <row r="815" ht="13.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</row>
    <row r="816" ht="13.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</row>
    <row r="817" ht="13.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</row>
    <row r="818" ht="13.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</row>
    <row r="819" ht="13.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</row>
    <row r="820" ht="13.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</row>
    <row r="821" ht="13.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</row>
    <row r="822" ht="13.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</row>
    <row r="823" ht="13.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</row>
    <row r="824" ht="13.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</row>
    <row r="825" ht="13.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</row>
    <row r="826" ht="13.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</row>
    <row r="827" ht="13.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</row>
    <row r="828" ht="13.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</row>
    <row r="829" ht="13.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</row>
    <row r="830" ht="13.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</row>
    <row r="831" ht="13.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</row>
    <row r="832" ht="13.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</row>
    <row r="833" ht="13.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</row>
    <row r="834" ht="13.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</row>
    <row r="835" ht="13.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</row>
    <row r="836" ht="13.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</row>
    <row r="837" ht="13.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</row>
    <row r="838" ht="13.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</row>
    <row r="839" ht="13.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</row>
    <row r="840" ht="13.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</row>
    <row r="841" ht="13.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</row>
    <row r="842" ht="13.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</row>
    <row r="843" ht="13.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</row>
    <row r="844" ht="13.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</row>
    <row r="845" ht="13.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</row>
    <row r="846" ht="13.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</row>
    <row r="847" ht="13.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</row>
    <row r="848" ht="13.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</row>
    <row r="849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</row>
    <row r="850" ht="13.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</row>
    <row r="851" ht="13.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</row>
    <row r="852" ht="13.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</row>
    <row r="853" ht="13.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</row>
    <row r="854" ht="13.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</row>
    <row r="855" ht="13.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</row>
    <row r="856" ht="13.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</row>
    <row r="857" ht="13.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</row>
    <row r="858" ht="13.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</row>
    <row r="859" ht="13.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</row>
    <row r="860" ht="13.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</row>
    <row r="861" ht="13.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</row>
    <row r="862" ht="13.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</row>
    <row r="863" ht="13.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</row>
    <row r="864" ht="13.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</row>
    <row r="865" ht="13.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</row>
    <row r="866" ht="13.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</row>
    <row r="867" ht="13.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</row>
    <row r="868" ht="13.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</row>
    <row r="869" ht="13.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</row>
    <row r="870" ht="13.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</row>
    <row r="871" ht="13.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</row>
    <row r="872" ht="13.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</row>
    <row r="873" ht="13.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</row>
    <row r="874" ht="13.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</row>
    <row r="875" ht="13.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</row>
    <row r="876" ht="13.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</row>
    <row r="877" ht="13.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</row>
    <row r="878" ht="13.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</row>
    <row r="879" ht="13.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</row>
    <row r="880" ht="13.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</row>
    <row r="881" ht="13.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</row>
    <row r="882" ht="13.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</row>
    <row r="883" ht="13.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</row>
    <row r="884" ht="13.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</row>
    <row r="885" ht="13.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</row>
    <row r="886" ht="13.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</row>
    <row r="887" ht="13.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</row>
    <row r="888" ht="13.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</row>
    <row r="889" ht="13.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</row>
    <row r="890" ht="13.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</row>
    <row r="891" ht="13.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</row>
    <row r="892" ht="13.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</row>
    <row r="893" ht="13.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</row>
    <row r="894" ht="13.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</row>
    <row r="895" ht="13.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</row>
    <row r="896" ht="13.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</row>
    <row r="897" ht="13.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</row>
    <row r="898" ht="13.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</row>
    <row r="899" ht="13.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</row>
    <row r="900" ht="13.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</row>
    <row r="901" ht="13.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</row>
    <row r="902" ht="13.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</row>
    <row r="903" ht="13.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</row>
    <row r="904" ht="13.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</row>
    <row r="905" ht="13.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</row>
    <row r="906" ht="13.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</row>
    <row r="907" ht="13.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</row>
    <row r="908" ht="13.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</row>
    <row r="909" ht="13.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</row>
    <row r="910" ht="13.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</row>
    <row r="911" ht="13.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</row>
    <row r="912" ht="13.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</row>
    <row r="913" ht="13.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</row>
    <row r="914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</row>
    <row r="915" ht="13.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</row>
    <row r="916" ht="13.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</row>
    <row r="917" ht="13.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</row>
    <row r="918" ht="13.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</row>
    <row r="919" ht="13.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</row>
    <row r="920" ht="13.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</row>
    <row r="921" ht="13.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</row>
    <row r="922" ht="13.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</row>
    <row r="923" ht="13.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</row>
    <row r="924" ht="13.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</row>
    <row r="925" ht="13.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</row>
    <row r="926" ht="13.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</row>
    <row r="927" ht="13.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</row>
    <row r="928" ht="13.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</row>
    <row r="929" ht="13.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</row>
    <row r="930" ht="13.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</row>
    <row r="931" ht="13.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</row>
    <row r="932" ht="13.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</row>
    <row r="933" ht="13.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</row>
    <row r="934" ht="13.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</row>
    <row r="935" ht="13.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</row>
    <row r="936" ht="13.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</row>
    <row r="937" ht="13.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</row>
    <row r="938" ht="13.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</row>
    <row r="939" ht="13.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</row>
    <row r="940" ht="13.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</row>
    <row r="941" ht="13.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</row>
    <row r="942" ht="13.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</row>
    <row r="943" ht="13.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</row>
    <row r="944" ht="13.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</row>
    <row r="945" ht="13.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</row>
    <row r="946" ht="13.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</row>
    <row r="947" ht="13.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</row>
    <row r="948" ht="13.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</row>
    <row r="949" ht="13.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</row>
    <row r="950" ht="13.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</row>
    <row r="951" ht="13.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</row>
    <row r="952" ht="13.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</row>
    <row r="953" ht="13.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</row>
    <row r="954" ht="13.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</row>
    <row r="955" ht="13.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</row>
    <row r="956" ht="13.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</row>
    <row r="957" ht="13.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</row>
    <row r="958" ht="13.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</row>
    <row r="959" ht="13.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</row>
    <row r="960" ht="13.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</row>
    <row r="961" ht="13.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</row>
    <row r="962" ht="13.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</row>
    <row r="963" ht="13.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</row>
    <row r="964" ht="13.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</row>
    <row r="965" ht="13.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</row>
    <row r="966" ht="13.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</row>
    <row r="967" ht="13.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</row>
    <row r="968" ht="13.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</row>
    <row r="969" ht="13.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</row>
    <row r="970" ht="13.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</row>
    <row r="971" ht="13.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</row>
    <row r="972" ht="13.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</row>
    <row r="973" ht="13.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</row>
    <row r="974" ht="13.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</row>
    <row r="975" ht="13.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</row>
    <row r="976" ht="13.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</row>
    <row r="977" ht="13.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</row>
    <row r="978" ht="13.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</row>
    <row r="979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</row>
    <row r="980" ht="13.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</row>
    <row r="981" ht="13.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</row>
    <row r="982" ht="13.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</row>
    <row r="983" ht="13.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</row>
    <row r="984" ht="13.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</row>
    <row r="985" ht="13.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</row>
    <row r="986" ht="13.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</row>
    <row r="987" ht="13.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</row>
    <row r="988" ht="13.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</row>
    <row r="989" ht="13.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</row>
    <row r="990" ht="13.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</row>
    <row r="991" ht="13.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</row>
    <row r="992" ht="13.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</row>
    <row r="993" ht="13.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</row>
    <row r="994" ht="13.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</row>
    <row r="995" ht="13.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</row>
    <row r="996" ht="13.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</row>
    <row r="997" ht="13.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</row>
    <row r="998" ht="13.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</row>
    <row r="999" ht="13.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</row>
    <row r="1000" ht="13.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</row>
  </sheetData>
  <mergeCells count="41">
    <mergeCell ref="A1:A2"/>
    <mergeCell ref="G1:K1"/>
    <mergeCell ref="G2:H2"/>
    <mergeCell ref="J2:K2"/>
    <mergeCell ref="A4:B4"/>
    <mergeCell ref="A8:B8"/>
    <mergeCell ref="A14:B14"/>
    <mergeCell ref="A22:B22"/>
    <mergeCell ref="A27:E27"/>
    <mergeCell ref="H27:L27"/>
    <mergeCell ref="M27:M28"/>
    <mergeCell ref="A29:A31"/>
    <mergeCell ref="F29:F38"/>
    <mergeCell ref="A32:E32"/>
    <mergeCell ref="J64:K64"/>
    <mergeCell ref="H68:L68"/>
    <mergeCell ref="M70:M81"/>
    <mergeCell ref="H73:L73"/>
    <mergeCell ref="H78:L78"/>
    <mergeCell ref="I83:L83"/>
    <mergeCell ref="M85:M89"/>
    <mergeCell ref="H41:M41"/>
    <mergeCell ref="H44:M44"/>
    <mergeCell ref="H47:M47"/>
    <mergeCell ref="J56:K56"/>
    <mergeCell ref="H57:M57"/>
    <mergeCell ref="H59:M59"/>
    <mergeCell ref="H63:M63"/>
    <mergeCell ref="F71:F73"/>
    <mergeCell ref="A73:E73"/>
    <mergeCell ref="A76:C76"/>
    <mergeCell ref="A78:A80"/>
    <mergeCell ref="A81:A83"/>
    <mergeCell ref="A84:A85"/>
    <mergeCell ref="A33:A38"/>
    <mergeCell ref="A39:E39"/>
    <mergeCell ref="A40:A53"/>
    <mergeCell ref="F40:F53"/>
    <mergeCell ref="A55:E55"/>
    <mergeCell ref="F57:F69"/>
    <mergeCell ref="A70:E70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